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Tobias Held\Desktop\PhD\PhD proposal e-mobility\Paper_3_US case sample\Manuscript\Submission\"/>
    </mc:Choice>
  </mc:AlternateContent>
  <xr:revisionPtr revIDLastSave="0" documentId="13_ncr:1_{317713E5-AAFF-406D-8A2E-0BA163C0DAA3}" xr6:coauthVersionLast="47" xr6:coauthVersionMax="47" xr10:uidLastSave="{00000000-0000-0000-0000-000000000000}"/>
  <bookViews>
    <workbookView xWindow="-120" yWindow="-120" windowWidth="29040" windowHeight="15720" activeTab="3" xr2:uid="{00000000-000D-0000-FFFF-FFFF00000000}"/>
  </bookViews>
  <sheets>
    <sheet name="RESTULTS TCO calculation" sheetId="18" r:id="rId1"/>
    <sheet name="Austin (TEXAS) " sheetId="2" r:id="rId2"/>
    <sheet name="Baltimore (MARYLAND)" sheetId="3" r:id="rId3"/>
    <sheet name="Boston (MA)" sheetId="4" r:id="rId4"/>
    <sheet name="Columbus (Ohio)" sheetId="6" r:id="rId5"/>
    <sheet name="Denver (Colorado)" sheetId="7" r:id="rId6"/>
    <sheet name="Kansas City (Missouri)" sheetId="8" r:id="rId7"/>
    <sheet name="Los Angeles (California)" sheetId="9" r:id="rId8"/>
    <sheet name="Nashville (Tennesee)" sheetId="10" r:id="rId9"/>
    <sheet name="New York City (New York)" sheetId="11" r:id="rId10"/>
    <sheet name="Phoenix (Arizona)" sheetId="1" r:id="rId11"/>
    <sheet name="Pittsburgh (Pennsylvania)" sheetId="12" r:id="rId12"/>
    <sheet name="Portland (OREGON)" sheetId="13" r:id="rId13"/>
    <sheet name="Portland (Maine)" sheetId="14" r:id="rId14"/>
    <sheet name="Providence (Rhode Island)" sheetId="16" r:id="rId15"/>
    <sheet name="Raleigh (North Carolina)" sheetId="15" r:id="rId16"/>
    <sheet name="Seattle (Washington)" sheetId="17"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7" i="18" l="1"/>
  <c r="E17" i="18" s="1"/>
  <c r="D16" i="18"/>
  <c r="E16" i="18" s="1"/>
  <c r="D15" i="18"/>
  <c r="E15" i="18" s="1"/>
  <c r="D14" i="18"/>
  <c r="E14" i="18" s="1"/>
  <c r="D13" i="18"/>
  <c r="E13" i="18" s="1"/>
  <c r="D12" i="18"/>
  <c r="E12" i="18" s="1"/>
  <c r="D11" i="18"/>
  <c r="E11" i="18" s="1"/>
  <c r="D10" i="18"/>
  <c r="E10" i="18" s="1"/>
  <c r="D9" i="18"/>
  <c r="E9" i="18" s="1"/>
  <c r="D8" i="18"/>
  <c r="E8" i="18" s="1"/>
  <c r="D7" i="18"/>
  <c r="E7" i="18" s="1"/>
  <c r="D6" i="18"/>
  <c r="E6" i="18" s="1"/>
  <c r="D5" i="18"/>
  <c r="E5" i="18" s="1"/>
  <c r="E4" i="18"/>
  <c r="D4" i="18"/>
  <c r="D3" i="18"/>
  <c r="E3" i="18" s="1"/>
  <c r="H2" i="18"/>
  <c r="G2" i="18"/>
  <c r="D2" i="18"/>
  <c r="D18" i="18" s="1"/>
  <c r="E2" i="18" l="1"/>
  <c r="I2" i="18" s="1"/>
  <c r="S2" i="17" l="1"/>
  <c r="V9" i="17"/>
  <c r="V9" i="16"/>
  <c r="V2" i="16"/>
  <c r="L9" i="16"/>
  <c r="S9" i="16"/>
  <c r="R9" i="16"/>
  <c r="R2" i="16"/>
  <c r="Q9" i="16"/>
  <c r="Q10" i="16" s="1"/>
  <c r="Q11" i="16" s="1"/>
  <c r="Q12" i="16" s="1"/>
  <c r="Q13" i="16" s="1"/>
  <c r="Q2" i="16"/>
  <c r="Q3" i="16" s="1"/>
  <c r="Q4" i="16" s="1"/>
  <c r="Q5" i="16" s="1"/>
  <c r="Q6" i="16" s="1"/>
  <c r="S2" i="16"/>
  <c r="L2" i="16"/>
  <c r="E9" i="16"/>
  <c r="E2" i="16"/>
  <c r="U9" i="16"/>
  <c r="U2" i="16"/>
  <c r="X9" i="14"/>
  <c r="X2" i="14"/>
  <c r="T9" i="14"/>
  <c r="U9" i="14"/>
  <c r="U2" i="14"/>
  <c r="N9" i="14"/>
  <c r="T2" i="14"/>
  <c r="S9" i="14"/>
  <c r="S10" i="14" s="1"/>
  <c r="S11" i="14" s="1"/>
  <c r="S12" i="14" s="1"/>
  <c r="S13" i="14" s="1"/>
  <c r="S2" i="14"/>
  <c r="S3" i="14" s="1"/>
  <c r="S4" i="14" s="1"/>
  <c r="S5" i="14" s="1"/>
  <c r="S6" i="14" s="1"/>
  <c r="N2" i="14"/>
  <c r="F9" i="14"/>
  <c r="F2" i="14"/>
  <c r="E10" i="14"/>
  <c r="E11" i="14"/>
  <c r="E12" i="14"/>
  <c r="E13" i="14"/>
  <c r="E9" i="14"/>
  <c r="E3" i="14"/>
  <c r="E4" i="14"/>
  <c r="E5" i="14"/>
  <c r="E6" i="14"/>
  <c r="E2" i="14"/>
  <c r="W9" i="14"/>
  <c r="W2" i="14"/>
  <c r="V2" i="10"/>
  <c r="S2" i="10"/>
  <c r="L9" i="10"/>
  <c r="L2" i="10"/>
  <c r="R9" i="10"/>
  <c r="R2" i="10"/>
  <c r="Q11" i="10"/>
  <c r="Q12" i="10"/>
  <c r="Q13" i="10"/>
  <c r="Q10" i="10"/>
  <c r="Q9" i="10"/>
  <c r="Q4" i="10"/>
  <c r="Q5" i="10"/>
  <c r="Q6" i="10"/>
  <c r="Q3" i="10"/>
  <c r="Q2" i="10"/>
  <c r="S9" i="10"/>
  <c r="E2" i="10"/>
  <c r="E9" i="10"/>
  <c r="D9" i="10"/>
  <c r="D2" i="10"/>
  <c r="U9" i="10"/>
  <c r="U2" i="10"/>
  <c r="W2" i="8"/>
  <c r="W9" i="8"/>
  <c r="V9" i="8"/>
  <c r="V2" i="8"/>
  <c r="T9" i="8"/>
  <c r="T2" i="8"/>
  <c r="S9" i="8"/>
  <c r="S2" i="8"/>
  <c r="R11" i="8"/>
  <c r="R12" i="8" s="1"/>
  <c r="R13" i="8" s="1"/>
  <c r="R10" i="8"/>
  <c r="R9" i="8"/>
  <c r="R4" i="8"/>
  <c r="R5" i="8"/>
  <c r="R6" i="8" s="1"/>
  <c r="R3" i="8"/>
  <c r="R2" i="8"/>
  <c r="M9" i="8"/>
  <c r="M2" i="8"/>
  <c r="D9" i="8"/>
  <c r="E9" i="8" s="1"/>
  <c r="D2" i="8"/>
  <c r="E2" i="8" s="1"/>
  <c r="S9" i="17"/>
  <c r="R9" i="17"/>
  <c r="V2" i="17"/>
  <c r="U9" i="17"/>
  <c r="U2" i="17"/>
  <c r="R2" i="17"/>
  <c r="Q11" i="17"/>
  <c r="Q12" i="17"/>
  <c r="Q13" i="17"/>
  <c r="Q10" i="17"/>
  <c r="Q9" i="17"/>
  <c r="Q4" i="17"/>
  <c r="Q5" i="17"/>
  <c r="Q6" i="17" s="1"/>
  <c r="Q3" i="17"/>
  <c r="Q2" i="17"/>
  <c r="L9" i="17"/>
  <c r="L2" i="17"/>
  <c r="E13" i="17"/>
  <c r="E12" i="17"/>
  <c r="E11" i="17"/>
  <c r="E10" i="17"/>
  <c r="E9" i="17"/>
  <c r="E6" i="17"/>
  <c r="E5" i="17"/>
  <c r="E4" i="17"/>
  <c r="E3" i="17"/>
  <c r="E2" i="17"/>
  <c r="W9" i="15"/>
  <c r="W2" i="15"/>
  <c r="T9" i="15"/>
  <c r="V9" i="15"/>
  <c r="V2" i="15"/>
  <c r="T2" i="15"/>
  <c r="S9" i="15"/>
  <c r="S2" i="15"/>
  <c r="R11" i="15"/>
  <c r="R12" i="15" s="1"/>
  <c r="R13" i="15" s="1"/>
  <c r="R10" i="15"/>
  <c r="R9" i="15"/>
  <c r="R4" i="15"/>
  <c r="R5" i="15"/>
  <c r="R6" i="15"/>
  <c r="R3" i="15"/>
  <c r="R2" i="15"/>
  <c r="M9" i="15"/>
  <c r="M2" i="15"/>
  <c r="E13" i="15"/>
  <c r="E12" i="15"/>
  <c r="E11" i="15"/>
  <c r="E10" i="15"/>
  <c r="E9" i="15"/>
  <c r="E6" i="15"/>
  <c r="E5" i="15"/>
  <c r="E4" i="15"/>
  <c r="E3" i="15"/>
  <c r="E2" i="15"/>
  <c r="V9" i="13"/>
  <c r="V2" i="13"/>
  <c r="V9" i="12"/>
  <c r="V2" i="12"/>
  <c r="S9" i="13"/>
  <c r="R9" i="13"/>
  <c r="U9" i="13"/>
  <c r="U2" i="13"/>
  <c r="S2" i="13"/>
  <c r="R2" i="13"/>
  <c r="Q11" i="13"/>
  <c r="Q12" i="13"/>
  <c r="Q13" i="13" s="1"/>
  <c r="Q10" i="13"/>
  <c r="Q9" i="13"/>
  <c r="Q4" i="13"/>
  <c r="Q5" i="13"/>
  <c r="Q6" i="13"/>
  <c r="Q3" i="13"/>
  <c r="Q2" i="13"/>
  <c r="L9" i="13"/>
  <c r="L2" i="13"/>
  <c r="E13" i="13"/>
  <c r="E12" i="13"/>
  <c r="E11" i="13"/>
  <c r="E10" i="13"/>
  <c r="E9" i="13"/>
  <c r="E6" i="13"/>
  <c r="E5" i="13"/>
  <c r="E4" i="13"/>
  <c r="E3" i="13"/>
  <c r="E2" i="13"/>
  <c r="S9" i="12"/>
  <c r="AA2" i="9"/>
  <c r="U9" i="12"/>
  <c r="U2" i="12"/>
  <c r="S2" i="12"/>
  <c r="R9" i="12"/>
  <c r="R2" i="12"/>
  <c r="L9" i="12"/>
  <c r="L2" i="12"/>
  <c r="Q11" i="12"/>
  <c r="Q12" i="12" s="1"/>
  <c r="Q13" i="12" s="1"/>
  <c r="Q10" i="12"/>
  <c r="Q9" i="12"/>
  <c r="Q2" i="12"/>
  <c r="Q3" i="12" s="1"/>
  <c r="Q4" i="12" s="1"/>
  <c r="Q5" i="12" s="1"/>
  <c r="Q6" i="12" s="1"/>
  <c r="E13" i="12"/>
  <c r="E12" i="12"/>
  <c r="E11" i="12"/>
  <c r="E10" i="12"/>
  <c r="E9" i="12"/>
  <c r="E6" i="12"/>
  <c r="E5" i="12"/>
  <c r="E4" i="12"/>
  <c r="E3" i="12"/>
  <c r="E2" i="12"/>
  <c r="V9" i="11"/>
  <c r="V2" i="11"/>
  <c r="S9" i="11"/>
  <c r="R9" i="11"/>
  <c r="S2" i="11"/>
  <c r="R2" i="11"/>
  <c r="Q11" i="11"/>
  <c r="Q12" i="11"/>
  <c r="Q13" i="11" s="1"/>
  <c r="Q10" i="11"/>
  <c r="Q9" i="11"/>
  <c r="Q4" i="11"/>
  <c r="Q5" i="11"/>
  <c r="Q6" i="11" s="1"/>
  <c r="Q3" i="11"/>
  <c r="Q2" i="11"/>
  <c r="L9" i="11"/>
  <c r="L2" i="11"/>
  <c r="U9" i="11"/>
  <c r="U2" i="11"/>
  <c r="E13" i="11"/>
  <c r="E12" i="11"/>
  <c r="E11" i="11"/>
  <c r="E10" i="11"/>
  <c r="E9" i="11"/>
  <c r="E6" i="11"/>
  <c r="E5" i="11"/>
  <c r="E4" i="11"/>
  <c r="E3" i="11"/>
  <c r="E2" i="11"/>
  <c r="AA9" i="9"/>
  <c r="X9" i="9"/>
  <c r="W9" i="9"/>
  <c r="Z2" i="7"/>
  <c r="Z9" i="9"/>
  <c r="Z2" i="9"/>
  <c r="X2" i="9"/>
  <c r="W2" i="9"/>
  <c r="V11" i="9"/>
  <c r="V12" i="9" s="1"/>
  <c r="V13" i="9" s="1"/>
  <c r="V10" i="9"/>
  <c r="V9" i="9"/>
  <c r="V4" i="9"/>
  <c r="V5" i="9"/>
  <c r="V6" i="9"/>
  <c r="V3" i="9"/>
  <c r="V2" i="9"/>
  <c r="Q9" i="9"/>
  <c r="Q2" i="9"/>
  <c r="K9" i="9"/>
  <c r="K13" i="9"/>
  <c r="E13" i="9"/>
  <c r="F13" i="9" s="1"/>
  <c r="K12" i="9"/>
  <c r="E12" i="9"/>
  <c r="F12" i="9" s="1"/>
  <c r="K11" i="9"/>
  <c r="E11" i="9"/>
  <c r="F11" i="9" s="1"/>
  <c r="K10" i="9"/>
  <c r="E10" i="9"/>
  <c r="F10" i="9" s="1"/>
  <c r="E9" i="9"/>
  <c r="F9" i="9" s="1"/>
  <c r="K6" i="9"/>
  <c r="E6" i="9"/>
  <c r="F6" i="9" s="1"/>
  <c r="K5" i="9"/>
  <c r="E5" i="9"/>
  <c r="F5" i="9" s="1"/>
  <c r="K4" i="9"/>
  <c r="E4" i="9"/>
  <c r="F4" i="9" s="1"/>
  <c r="K3" i="9"/>
  <c r="E3" i="9"/>
  <c r="F3" i="9" s="1"/>
  <c r="K2" i="9"/>
  <c r="E2" i="9"/>
  <c r="F2" i="9" s="1"/>
  <c r="Z9" i="7"/>
  <c r="W9" i="7"/>
  <c r="W2" i="7"/>
  <c r="V9" i="7"/>
  <c r="V2" i="4"/>
  <c r="V11" i="4"/>
  <c r="Y9" i="7"/>
  <c r="Y2" i="7"/>
  <c r="U4" i="7"/>
  <c r="U5" i="7" s="1"/>
  <c r="U6" i="7" s="1"/>
  <c r="U3" i="7"/>
  <c r="U2" i="7"/>
  <c r="V2" i="7"/>
  <c r="U11" i="7"/>
  <c r="U12" i="7"/>
  <c r="U13" i="7"/>
  <c r="U10" i="7"/>
  <c r="U9" i="7"/>
  <c r="H13" i="7"/>
  <c r="D13" i="7"/>
  <c r="F13" i="7" s="1"/>
  <c r="H12" i="7"/>
  <c r="D12" i="7"/>
  <c r="F12" i="7" s="1"/>
  <c r="H11" i="7"/>
  <c r="D11" i="7"/>
  <c r="F11" i="7" s="1"/>
  <c r="H10" i="7"/>
  <c r="D10" i="7"/>
  <c r="F10" i="7" s="1"/>
  <c r="H9" i="7"/>
  <c r="D9" i="7"/>
  <c r="F9" i="7" s="1"/>
  <c r="P9" i="7" s="1"/>
  <c r="H6" i="7"/>
  <c r="D6" i="7"/>
  <c r="F6" i="7" s="1"/>
  <c r="H5" i="7"/>
  <c r="D5" i="7"/>
  <c r="F5" i="7" s="1"/>
  <c r="H4" i="7"/>
  <c r="D4" i="7"/>
  <c r="F4" i="7" s="1"/>
  <c r="P2" i="7" s="1"/>
  <c r="H3" i="7"/>
  <c r="D3" i="7"/>
  <c r="F3" i="7" s="1"/>
  <c r="H2" i="7"/>
  <c r="D2" i="7"/>
  <c r="F2" i="7" s="1"/>
  <c r="W9" i="6"/>
  <c r="W2" i="6"/>
  <c r="M9" i="6"/>
  <c r="T9" i="6" s="1"/>
  <c r="S9" i="6"/>
  <c r="R11" i="6"/>
  <c r="R12" i="6"/>
  <c r="R13" i="6"/>
  <c r="R10" i="6"/>
  <c r="R9" i="6"/>
  <c r="R2" i="6"/>
  <c r="V9" i="6"/>
  <c r="V2" i="6"/>
  <c r="T2" i="6"/>
  <c r="S11" i="4"/>
  <c r="S2" i="4"/>
  <c r="S2" i="6"/>
  <c r="R2" i="4"/>
  <c r="M2" i="6"/>
  <c r="R3" i="6"/>
  <c r="R4" i="6" s="1"/>
  <c r="R5" i="6" s="1"/>
  <c r="R6" i="6" s="1"/>
  <c r="E13" i="6"/>
  <c r="E12" i="6"/>
  <c r="E11" i="6"/>
  <c r="E10" i="6"/>
  <c r="E9" i="6"/>
  <c r="E6" i="6"/>
  <c r="E5" i="6"/>
  <c r="E4" i="6"/>
  <c r="E3" i="6"/>
  <c r="E2" i="6"/>
  <c r="R11" i="4"/>
  <c r="Q13" i="4"/>
  <c r="Q14" i="4" s="1"/>
  <c r="Q15" i="4" s="1"/>
  <c r="Q12" i="4"/>
  <c r="Q11" i="4"/>
  <c r="U11" i="4"/>
  <c r="U2" i="4"/>
  <c r="Q4" i="4"/>
  <c r="Q5" i="4" s="1"/>
  <c r="Q6" i="4" s="1"/>
  <c r="Q3" i="4"/>
  <c r="Q2" i="4"/>
  <c r="L11" i="4"/>
  <c r="L2" i="4"/>
  <c r="E15" i="4"/>
  <c r="E14" i="4"/>
  <c r="E13" i="4"/>
  <c r="E12" i="4"/>
  <c r="E11" i="4"/>
  <c r="E6" i="4"/>
  <c r="E5" i="4"/>
  <c r="E4" i="4"/>
  <c r="E3" i="4"/>
  <c r="E2" i="4"/>
  <c r="T9" i="3"/>
  <c r="V9" i="3"/>
  <c r="V2" i="3"/>
  <c r="T2" i="3"/>
  <c r="M2" i="3"/>
  <c r="R11" i="3"/>
  <c r="R12" i="3"/>
  <c r="R13" i="3"/>
  <c r="R10" i="3"/>
  <c r="R9" i="3"/>
  <c r="R4" i="3"/>
  <c r="R5" i="3"/>
  <c r="R6" i="3"/>
  <c r="R3" i="3"/>
  <c r="R2" i="3"/>
  <c r="M9" i="3"/>
  <c r="E13" i="3"/>
  <c r="E12" i="3"/>
  <c r="E11" i="3"/>
  <c r="E10" i="3"/>
  <c r="E9" i="3"/>
  <c r="S9" i="3" s="1"/>
  <c r="W9" i="3" s="1"/>
  <c r="E6" i="3"/>
  <c r="E5" i="3"/>
  <c r="E4" i="3"/>
  <c r="E3" i="3"/>
  <c r="E2" i="3"/>
  <c r="S2" i="3" s="1"/>
  <c r="W2" i="3" s="1"/>
  <c r="AA13" i="1"/>
  <c r="AA2" i="1"/>
  <c r="U11" i="2"/>
  <c r="U2" i="2"/>
  <c r="T11" i="2"/>
  <c r="T2" i="2"/>
  <c r="Z2" i="1"/>
  <c r="R11" i="2"/>
  <c r="R2" i="2"/>
  <c r="Q11" i="2"/>
  <c r="Q2" i="2"/>
  <c r="Q2" i="1"/>
  <c r="P13" i="2"/>
  <c r="P14" i="2"/>
  <c r="P15" i="2" s="1"/>
  <c r="P12" i="2"/>
  <c r="P11" i="2"/>
  <c r="P5" i="2"/>
  <c r="P6" i="2" s="1"/>
  <c r="P4" i="2"/>
  <c r="P3" i="2"/>
  <c r="P2" i="2"/>
  <c r="E15" i="2"/>
  <c r="E14" i="2"/>
  <c r="E13" i="2"/>
  <c r="E12" i="2"/>
  <c r="E11" i="2"/>
  <c r="E6" i="2"/>
  <c r="E5" i="2"/>
  <c r="E4" i="2"/>
  <c r="E3" i="2"/>
  <c r="E2" i="2"/>
  <c r="V9" i="10" l="1"/>
  <c r="Z13" i="1"/>
  <c r="W13" i="1" l="1"/>
  <c r="V13" i="1"/>
  <c r="V14" i="1" s="1"/>
  <c r="V15" i="1" s="1"/>
  <c r="V16" i="1" s="1"/>
  <c r="V17" i="1" s="1"/>
  <c r="V2" i="1"/>
  <c r="V3" i="1" s="1"/>
  <c r="V4" i="1" l="1"/>
  <c r="F2" i="1"/>
  <c r="F3" i="1" s="1"/>
  <c r="V5" i="1" l="1"/>
  <c r="G17" i="1"/>
  <c r="G16" i="1"/>
  <c r="G15" i="1"/>
  <c r="G14" i="1"/>
  <c r="J13" i="1"/>
  <c r="G13" i="1"/>
  <c r="F13" i="1"/>
  <c r="F14" i="1" s="1"/>
  <c r="G6" i="1"/>
  <c r="G5" i="1"/>
  <c r="G4" i="1"/>
  <c r="G3" i="1"/>
  <c r="J2" i="1"/>
  <c r="W2" i="1" s="1"/>
  <c r="G2" i="1"/>
  <c r="H2" i="1" s="1"/>
  <c r="V6" i="1" l="1"/>
  <c r="F4" i="1"/>
  <c r="H4" i="1" s="1"/>
  <c r="Q4" i="1" s="1"/>
  <c r="F15" i="1"/>
  <c r="H14" i="1"/>
  <c r="Q14" i="1" s="1"/>
  <c r="H13" i="1"/>
  <c r="Q13" i="1" s="1"/>
  <c r="F5" i="1" l="1"/>
  <c r="H5" i="1" s="1"/>
  <c r="Q5" i="1" s="1"/>
  <c r="H3" i="1"/>
  <c r="J14" i="1"/>
  <c r="F16" i="1"/>
  <c r="H15" i="1"/>
  <c r="Q15" i="1" s="1"/>
  <c r="J4" i="1"/>
  <c r="J3" i="1" l="1"/>
  <c r="Q3" i="1"/>
  <c r="F6" i="1"/>
  <c r="H6" i="1" s="1"/>
  <c r="J15" i="1"/>
  <c r="F17" i="1"/>
  <c r="H17" i="1" s="1"/>
  <c r="Q17" i="1" s="1"/>
  <c r="H16" i="1"/>
  <c r="Q16" i="1" s="1"/>
  <c r="X13" i="1" s="1"/>
  <c r="J5" i="1"/>
  <c r="Q6" i="1" l="1"/>
  <c r="J6" i="1"/>
  <c r="J16" i="1"/>
  <c r="J17" i="1"/>
  <c r="X2" i="1" l="1"/>
</calcChain>
</file>

<file path=xl/sharedStrings.xml><?xml version="1.0" encoding="utf-8"?>
<sst xmlns="http://schemas.openxmlformats.org/spreadsheetml/2006/main" count="935" uniqueCount="214">
  <si>
    <t>MSRP/Cost
 year ($)</t>
  </si>
  <si>
    <t xml:space="preserve">Assessed
 value </t>
  </si>
  <si>
    <t>Assessed
 value ($)</t>
  </si>
  <si>
    <t xml:space="preserve">Rate of assesed
 value </t>
  </si>
  <si>
    <t xml:space="preserve">Title fee ($) 
</t>
  </si>
  <si>
    <t>Federal tax credit ($)</t>
  </si>
  <si>
    <t>Tax credit 
or rebates($)</t>
  </si>
  <si>
    <t>Annual 
insurance cost ($)</t>
  </si>
  <si>
    <t xml:space="preserve">Annual  
repair cost ($) </t>
  </si>
  <si>
    <t xml:space="preserve">60% of MSRP </t>
  </si>
  <si>
    <t xml:space="preserve">16.25% less the
 previous year </t>
  </si>
  <si>
    <t>previous assesed values - (16.25%*previous assesed values )</t>
  </si>
  <si>
    <t xml:space="preserve">1% of MSRP </t>
  </si>
  <si>
    <t xml:space="preserve"> Vehicle</t>
  </si>
  <si>
    <t>Year of ownership</t>
  </si>
  <si>
    <t xml:space="preserve">Sources: </t>
  </si>
  <si>
    <t>https://www.caranddriver.com/tesla/model-3-2017</t>
  </si>
  <si>
    <t>Toyota Camry LE (XV70)</t>
  </si>
  <si>
    <t>https://www.caranddriver.com/toyota/camry-2017</t>
  </si>
  <si>
    <t>Assessed value as percen-tage of MSRP</t>
  </si>
  <si>
    <t>previous assessed value - (16.25%*previous assesed values )</t>
  </si>
  <si>
    <t xml:space="preserve">Rate of sales 
and use taxes </t>
  </si>
  <si>
    <t xml:space="preserve">Vehicle license tax annual
</t>
  </si>
  <si>
    <t>Tax credit/
rebates
($)</t>
  </si>
  <si>
    <t>Sum of annual  taxes (registration and fees) ($)</t>
  </si>
  <si>
    <t xml:space="preserve">Annual 
depreciation cost  ($) </t>
  </si>
  <si>
    <t>Annual maintenance cost ($)</t>
  </si>
  <si>
    <t>Sum of sales/usetax ($)</t>
  </si>
  <si>
    <t>Annual registration fee ($)</t>
  </si>
  <si>
    <t xml:space="preserve">https://www.salestaxhandbook.com/arizona/rates/phoenix#:~:text=Phoenix%2C%20Arizona%27s%20Sales%20Tax%20Rate%20is%208.6%25 </t>
  </si>
  <si>
    <t xml:space="preserve"> </t>
  </si>
  <si>
    <t xml:space="preserve">Notes: </t>
  </si>
  <si>
    <t>Tesla Model 3 
(DD; Long range)</t>
  </si>
  <si>
    <t xml:space="preserve">  </t>
  </si>
  <si>
    <t>Annual gasoline cost ($)</t>
  </si>
  <si>
    <t xml:space="preserve">   </t>
  </si>
  <si>
    <t>https://www.edmunds.com/toyota/camry/2017/cost-to-own/?style=401647953</t>
  </si>
  <si>
    <t>Year-one capital costs
 (𝑃𝐶+SX+TF−TCR)</t>
  </si>
  <si>
    <t>Resale 
value for each year of ownership ($)</t>
  </si>
  <si>
    <t>Total Cost of Ownership (TCO) for 5-year ownership (in $)</t>
  </si>
  <si>
    <t>Alternative Fuel and Alternative Fuel Vehicle (AFV) Use Tax Exemption (Arizona use taxes do not apply to natural gas or propane used in an AFV, AFVs converted to operate on alternative fuels, or the equipment used to convert a diesel vehicle to an AFV. Recognized alternative fuels include propane, natural gas, electricity, hydrogen, and a blend of hydrogen with propane or natural gas.)</t>
  </si>
  <si>
    <t>Notes:</t>
  </si>
  <si>
    <r>
      <t xml:space="preserve">The </t>
    </r>
    <r>
      <rPr>
        <b/>
        <sz val="11"/>
        <color rgb="FF333333"/>
        <rFont val="Calibri"/>
        <family val="2"/>
        <scheme val="minor"/>
      </rPr>
      <t xml:space="preserve">8.6% sales tax rate </t>
    </r>
    <r>
      <rPr>
        <sz val="11"/>
        <color rgb="FF333333"/>
        <rFont val="Calibri"/>
        <family val="2"/>
        <scheme val="minor"/>
      </rPr>
      <t xml:space="preserve">in Phoenix consists of 5.6% Arizona state sales tax, 0.7% Maricopa County sales tax and 2.3% Phoenix tax. There is no applicable special tax. </t>
    </r>
  </si>
  <si>
    <t>Annual electricity cost ($)</t>
  </si>
  <si>
    <t>Electric vehicle
fee ($)</t>
  </si>
  <si>
    <t>Annual main-tenance cost ($)</t>
  </si>
  <si>
    <t xml:space="preserve">Annual 
depre-ciation cost  ($) </t>
  </si>
  <si>
    <t>Sum of annual costs 
(FC+T+I+M+R)</t>
  </si>
  <si>
    <t>Discount rate per year</t>
  </si>
  <si>
    <t>Discount rate for 5-year ownership</t>
  </si>
  <si>
    <t>Transportation Code - State of Texas (https://statutes.capitol.texas.gov/Docs/TN/htm/TN.502.htm)</t>
  </si>
  <si>
    <t>TX Department of Transportation (https://www.txdmv.gov/sites/default/files/body-files/FeeChart_1C.pdf)</t>
  </si>
  <si>
    <t>Cost of inspection (https://www.dps.texas.gov/section/vehicle-inspection/cost-inspection)</t>
  </si>
  <si>
    <t>Travis County Vehicle registration renewal fees (https://tax-office.traviscountytx.gov/vehicles/vehicle-registration/registration-renewal/fees)</t>
  </si>
  <si>
    <t>Annual registration fees in Texas are based on a state-wide base fee ($50,75) plus county-specific registration fees. For the calculations given, fees in Travis County are used (in sum: $17,25). Cost of annual inspection: $7.</t>
  </si>
  <si>
    <t>Vehicle</t>
  </si>
  <si>
    <t>Electric Vehicle
Fee ($)</t>
  </si>
  <si>
    <t>Motor Vehicle Use Tax: https://comptroller.texas.gov/taxes/publications/96-254/mv-use.php</t>
  </si>
  <si>
    <t>Motor Vehicle Use Tax: Texas law bases the motor vehicle use tax on a motor vehicle’s sales price, with no deduction allowed for depreciation or use prior to entering Texas.</t>
  </si>
  <si>
    <t>Motor Vehicle Use Rate</t>
  </si>
  <si>
    <t>Motor Vehicle Use Rate*MSRP ($)</t>
  </si>
  <si>
    <t>Annual RegistrationTax and Fees ($)</t>
  </si>
  <si>
    <t xml:space="preserve"> Title Fee($)</t>
  </si>
  <si>
    <t xml:space="preserve">Vehicles will be registered for two (2) years at the time of titling or at the time registration is renewed. (Class Description Fee A Passenger Cars $135) </t>
  </si>
  <si>
    <t>Motor Vehicle Fees: https://mva.maryland.gov/Pages/buying-a-vehicle-in-maryland.aspx</t>
  </si>
  <si>
    <t xml:space="preserve">Sales Tax: https://mva.maryland.gov/Pages/buying-a-vehicle-in-maryland.aspx </t>
  </si>
  <si>
    <t>Annual Vehicle Emissions Insepction Program Test Fee</t>
  </si>
  <si>
    <t>Annual Vehicle Emissions Insepction Program Test Fee
(EXEMPTION)</t>
  </si>
  <si>
    <t>Sales and Use Tax Rate</t>
  </si>
  <si>
    <t>Sum of Sales/Use Tax ($)</t>
  </si>
  <si>
    <t>Title Fee ($)</t>
  </si>
  <si>
    <t>Registration Fee: https://www.mass.gov/files/2017-07/Schedule%20of%20Fees_9.pdf</t>
  </si>
  <si>
    <t xml:space="preserve">Title Fee: https://www.mass.gov/how-to/apply-for-a-registration-and-title-for-a-vehicle-purchased-from-an-individual </t>
  </si>
  <si>
    <t>Sales Tax Rate: https://www.mass.gov/guides/motor-vehicle-and-trailer-sales-and-use-tax#-motor-vehicle-excise-</t>
  </si>
  <si>
    <t>Annual Registration Tax and Fees ($)</t>
  </si>
  <si>
    <t>EVs are exempt from annual emissions inspections.</t>
  </si>
  <si>
    <t>Sales Tax Rate (state plus city): https://www.salestaxhandbook.com/ohio/sales-tax-vehicles#:~:text=Ohio%20collects%20a%205.75%25%20state,%2C%20title%2C%20and%20plate%20fees.</t>
  </si>
  <si>
    <t>Registration Fee: https://www.caranddriver.com/research/a32813068/ohio-new-car-sales-tax-calculator/</t>
  </si>
  <si>
    <t>Title Fee: https://www.caranddriver.com/research/a32813068/ohio-new-car-sales-tax-calculator/</t>
  </si>
  <si>
    <t>Annual Vehicle Emissions Insepction Program Fee</t>
  </si>
  <si>
    <t xml:space="preserve">Vehicle emissions testing program: https://epa.ohio.gov/divisions-and-offices/air-pollution-control/e-check/waivers-extensions-and-exemptions Sales Tax Rate (state plus city): https://www.salestaxhandbook.com/ohio/sales-tax-vehicles#:~:text=Ohio%20collects%20a%205.75%25%20state,%2C%20title%2C%20and%20plate%20fees. </t>
  </si>
  <si>
    <t>License fee ($)</t>
  </si>
  <si>
    <t>Annual ownerhsip tax value is
 75% of MSRP ($)</t>
  </si>
  <si>
    <t xml:space="preserve">Annual tax
assessment </t>
  </si>
  <si>
    <t>Annual ownership 
tax ($)</t>
  </si>
  <si>
    <t>Tax credit 
or rebates ($)</t>
  </si>
  <si>
    <t>Registration fees are charged and collected by counties.</t>
  </si>
  <si>
    <t xml:space="preserve">The ownership tax rate is assessed on the original taxable value and year of service. 
Original taxable value is 85% of manufacturer's suggested retail price (MSRP). Annual ownership tax =  Taxable value *  Tax assesment </t>
  </si>
  <si>
    <t xml:space="preserve">Ownership tax: https://dmv.colorado.gov/registration-requirements </t>
  </si>
  <si>
    <t>Sales taxes for Denver County (incl. Colorado State Tax, RTD Tax, Denver City Tax): https://denvergov.org/Government/Agencies-Departments-Offices/Agencies-Departments-Offices-Directory/Motor-Vehicle/Register-a-Vehicle/Fees-Sales-Tax</t>
  </si>
  <si>
    <t>Rate of sale tax (Denver County)</t>
  </si>
  <si>
    <t>Sum of Sale Tax ($)</t>
  </si>
  <si>
    <t>Sum of SaleT ax ($)</t>
  </si>
  <si>
    <t>Regisration fees: https://www.denvergov.org/Government/Agencies-Departments-Offices/Agencies-Departments-Offices-Directory/Motor-Vehicle/Register-a-Vehicle/Register-a-New-or-Used-Vehicle</t>
  </si>
  <si>
    <t xml:space="preserve">Title fee ($) </t>
  </si>
  <si>
    <t>Gas Emissions Program test fee ($)</t>
  </si>
  <si>
    <t>Emission Test Requirement: Vehicles from model year 1982 and newer must test every other year.</t>
  </si>
  <si>
    <t>Gas emission program test fees: https://dmv.colorado.gov/gas-vehicles</t>
  </si>
  <si>
    <t>EV fee: https://dmv.colorado.gov/electric-vehicles#:~:text=Yes%2C%20electric%20vehicle%20owners%20(plug,the%202022-2023%20fiscal%20year.</t>
  </si>
  <si>
    <t>Vehicles powered exclusively by electricity, including hydrogen or fuels other than gasoline that are exempt from motor vehicle emissions inspection under federal regulation, are exempt from state emissions inspection requirements.</t>
  </si>
  <si>
    <t>Annual Transportation
Improvement Fee ($)</t>
  </si>
  <si>
    <t>Annual
RegistrationFee (annual)($)</t>
  </si>
  <si>
    <t xml:space="preserve">California Highway Patrol Fee (annual) ($)
</t>
  </si>
  <si>
    <t>Sources:</t>
  </si>
  <si>
    <t>https://www.dmv.ca.gov/portal/handbook/dismantlers-handbook-of-registration-procedures/appendix-1f-fees/</t>
  </si>
  <si>
    <t>https://casetext.com/statute/california-codes/california-vehicle-code/division-3-registration-of-vehicles-and-certificates-of-title/chapter-6-registration-and-weight-fees/article-2-registration-fees/section-92506-road-improvement-fee</t>
  </si>
  <si>
    <t>https://www.dmv.ca.gov/wasapp/FeeCalculatorWeb/newVehicleForm.do</t>
  </si>
  <si>
    <t>VLF: https://lao.ca.gov/analysis_1998/p_and_i_1998/part_5c_vlf_pandi98.html</t>
  </si>
  <si>
    <t xml:space="preserve">Note: </t>
  </si>
  <si>
    <t>Vehicle License Fee: VLF=0.65%*MSRP(rounded to nearest$100)*depreciation factor</t>
  </si>
  <si>
    <t>Vehicle License Fee Factor (0,65%)</t>
  </si>
  <si>
    <t>Depreciaton
Scheme for VLF</t>
  </si>
  <si>
    <t>Sum of VLF (annual) ($)</t>
  </si>
  <si>
    <t xml:space="preserve">Rate of Sale  Tax </t>
  </si>
  <si>
    <t>Sale Tax ($)</t>
  </si>
  <si>
    <t>Title and Plate Fee: https://dmv.ny.gov/registration/registration-fees-use-taxes-and-supplemental-fees-passenger-vehicles</t>
  </si>
  <si>
    <t>Title and Plate Fee ($)</t>
  </si>
  <si>
    <t xml:space="preserve">Registration fee is a two year fee. </t>
  </si>
  <si>
    <t>RegistrationTax and Fees ($)</t>
  </si>
  <si>
    <t>Sales and Use Tax Rate: https://www.nyc.gov/site/finance/taxes/business-nys-sales-tax.page</t>
  </si>
  <si>
    <t xml:space="preserve">Sales and Use Tax Rate is a combined rate imposed by state and county/city.  </t>
  </si>
  <si>
    <t>Annual Registration Fees ($)</t>
  </si>
  <si>
    <t xml:space="preserve">Registration fees include the cost of a standard registration plate for first-time issuance. </t>
  </si>
  <si>
    <t>https://www.dmv.pa.gov/Information-Centers/Payment/pages/payments-and-fees-page.aspx</t>
  </si>
  <si>
    <t>PersonalizedRegistration Plate ($)</t>
  </si>
  <si>
    <t>PersonalizedRegistration Plate  ($)</t>
  </si>
  <si>
    <t>Annual Registration Fees (valid for four years) ($)</t>
  </si>
  <si>
    <r>
      <rPr>
        <sz val="11"/>
        <color theme="1"/>
        <rFont val="Calibri"/>
        <family val="2"/>
        <scheme val="minor"/>
      </rPr>
      <t xml:space="preserve">Sales Tax: </t>
    </r>
    <r>
      <rPr>
        <u/>
        <sz val="11"/>
        <color theme="10"/>
        <rFont val="Calibri"/>
        <family val="2"/>
        <scheme val="minor"/>
      </rPr>
      <t>https://www.dot.state.pa.us/public/dvspubsforms/bmv/bmv%20fact%20sheets/fs-buysell.pdf</t>
    </r>
  </si>
  <si>
    <t>Certificate of Title ($)</t>
  </si>
  <si>
    <t>Vehicle Use Taxes: https://www.oregon.gov/dor/programs/businesses/pages/vehicle-privilege-and-use-taxes.aspx</t>
  </si>
  <si>
    <t>There is no sales/use tax for vhicles purchased in Oregon.</t>
  </si>
  <si>
    <t>Sales and Use Tax Rate (EXEMPTION)</t>
  </si>
  <si>
    <t xml:space="preserve">Beginning January 1, 2020, an additional vehicle registration fee of $110 for electric vehicles is imposed. </t>
  </si>
  <si>
    <t>Title Fee: https://www.oregon.gov/odot/dmv/pages/fees/vehicle.aspx</t>
  </si>
  <si>
    <t xml:space="preserve">North Carolina collects a highway-use tax on vehicles instead of a state sales tax. </t>
  </si>
  <si>
    <t>Title &amp; Registration Fees: https://www.ncdot.gov/dmv/title-registration/vehicle/Pages/fees.aspx</t>
  </si>
  <si>
    <t>Highway-Use Tax Rate</t>
  </si>
  <si>
    <t>Sum of Highway-Use Tax Rate ($)</t>
  </si>
  <si>
    <t>Emission Inspection Fee ($)</t>
  </si>
  <si>
    <t>Annual RegistrationFees ($)</t>
  </si>
  <si>
    <t>Emission Inspection Fee ($) (EXEMPTION)</t>
  </si>
  <si>
    <t>Annual Emissions Inspections: https://www.deq.nc.gov/about/divisions/air-quality/motor-vehicles-and-air-quality/inspection-maintenance-im-program/general-information#G1</t>
  </si>
  <si>
    <t>Electric Vehicle Fees: https://www.ncsl.org/energy/special-fees-on-plug-in-hybrid-and-electric-vehicles#:~:text=EV%20fees%20(N.C.%20Gen.,for%20plug-in%20electric%20vehicles.</t>
  </si>
  <si>
    <t>Wash. Rev. Code §46.17.323—H.B. 5897 (2015) increased the $100 fee to $150 for electric vehicle</t>
  </si>
  <si>
    <t>https://www.dol.wa.gov/vehicles-and-boats/vehicle-registration/calculate-vehicle-tab-fees</t>
  </si>
  <si>
    <t xml:space="preserve">
Washington collects standard the state sales tax rate of 6.5%, plus a 0.3% "motor vehicle sales / lease tax"</t>
  </si>
  <si>
    <t>https://www.salestaxhandbook.com/washington/sales-tax-vehicles</t>
  </si>
  <si>
    <t>Rate of sale tax</t>
  </si>
  <si>
    <t>Sum of Sale Tax ($) (EXEMPTION)</t>
  </si>
  <si>
    <t xml:space="preserve">Annual License Fee by Weight (3838.25 lbs.) </t>
  </si>
  <si>
    <t>Title Fee: https://www.salestaxhandbook.com/washington/sales-tax-vehicles</t>
  </si>
  <si>
    <t>Annual License Fee by Weight (3262,84 lbs.)  ($)</t>
  </si>
  <si>
    <t>Washington’s emission check program ended Jan. 1, 2020.</t>
  </si>
  <si>
    <t>Registration fees for passenger vehicles are determined by the vehicle’s taxable horsepower.</t>
  </si>
  <si>
    <t>RegistrationTax (Fee plus Processing Fee) ($)</t>
  </si>
  <si>
    <t>Registration Fee: https://dor.mo.gov/motor-vehicle/titling-registration/fees.html</t>
  </si>
  <si>
    <t xml:space="preserve"> Title Fee (title fee processing fee) ($)</t>
  </si>
  <si>
    <t>https://dor.mo.gov/motor-vehicle/titling-registration/buying-vehicle.html</t>
  </si>
  <si>
    <t>Sales Tax:https://taxfoundation.org/data/all/state/state-and-local-sales-tax-rates-in-2017/</t>
  </si>
  <si>
    <t>Sales Tax is composed of state (4,225%) and local tax rate (4,6250%).</t>
  </si>
  <si>
    <t>Sales Rate (State and Local)</t>
  </si>
  <si>
    <t>Sum of Sales Tax ($)</t>
  </si>
  <si>
    <t>Annual Vehicle Emissions Insepction Program Test Fee ($)</t>
  </si>
  <si>
    <t>Annual Vehicle Emissions Insepction Program Test Fee ($)
(EXEMPTION)</t>
  </si>
  <si>
    <t>https://www.tn.gov/content/dam/tn/revenue/documents/countyclerks/SalesUseTaxMotorVehicles.pdf</t>
  </si>
  <si>
    <t xml:space="preserve">Sales Tax is consisting of state general tax rate (7%), local sales tax rate (2,25% (Davidson County) and single article tax rate (2,75%). </t>
  </si>
  <si>
    <t>https://www.tn.gov/revenue/news/2022/6/6/state-fee-waived-on-vehicle-registrations-starting-july-1.html</t>
  </si>
  <si>
    <t>RegistrationTax (incl. Wheel Tax) ($)</t>
  </si>
  <si>
    <t>Emissions Testing: https://www.tennessean.com/story/news/local/davidson/2022/01/05/nashville-emissions-testing-what-davidson-county-drivers-need-know/9103746002/</t>
  </si>
  <si>
    <r>
      <rPr>
        <sz val="11"/>
        <color theme="1"/>
        <rFont val="Calibri"/>
        <family val="2"/>
        <scheme val="minor"/>
      </rPr>
      <t xml:space="preserve">Registration Fee: </t>
    </r>
    <r>
      <rPr>
        <u/>
        <sz val="11"/>
        <color theme="10"/>
        <rFont val="Calibri"/>
        <family val="2"/>
        <scheme val="minor"/>
      </rPr>
      <t>https://www.nashville.gov/departments/county-clerk/motor-vehicle-services/fees</t>
    </r>
  </si>
  <si>
    <t>Excise tax is an annual tax that must be paid prior to registering your vehicle. Excise tax is defined by Maine law as a tax levied annually for the privilege of operating a motor vehicle or camper trailer on the public ways. Excise tax is calculated by multiplying the MSRP by the mill rate as shown below.</t>
  </si>
  <si>
    <t>Sum of Excise Tax ($)</t>
  </si>
  <si>
    <t>Excise Rate (Annual Registration Fee)</t>
  </si>
  <si>
    <t>Registration Tax: https://www.maine.gov/revenue/taxes/property-tax/excise-tax</t>
  </si>
  <si>
    <t>Sales Tax: https://www.maine.gov/sos/bmv/registration/passenger.html#:~:text=Pay%205.5%25%20Maine%20sales%20tax,purchase%20price%20of%20the%20vehicle.&amp;text=1995%20or%20newer)-,Pay%20the%20appropriate%20registration%20fees%20based%20on%20type%20of%20plate,of%20a%20vanity%20plate%20online.</t>
  </si>
  <si>
    <t>5.5% Maine sales tax on the purchase price of the vehicle.</t>
  </si>
  <si>
    <t>Sales Tax (5,5% of MSRP) ($)</t>
  </si>
  <si>
    <t xml:space="preserve"> Title Application Fee ($)</t>
  </si>
  <si>
    <t>https://www.maine.gov/sos/bmv/registration/regfees.html</t>
  </si>
  <si>
    <t>Registration Fee ($)</t>
  </si>
  <si>
    <t>Annual Motor Insepction Fee ($)</t>
  </si>
  <si>
    <t>Sales Tax: https://dmv.ri.gov/registrations-plates-titles/sales-tax#:~:text=New%20or%20used%20vehicles%2C%20sales,vehicles%20and%20motor%20homes%20only.</t>
  </si>
  <si>
    <t xml:space="preserve">Sales and Use Tax Rate </t>
  </si>
  <si>
    <t>Registration Fee: https://dmv.ri.gov/registrations-plates-titles/registration/registration-title-fees</t>
  </si>
  <si>
    <t>file:///C:/Users/Tobias%20Held/Downloads/passenger-and-commercial-reg-by-weight%20(1).pdf</t>
  </si>
  <si>
    <t xml:space="preserve">Registration fees will be charged annually and is based on weight of passenger car. </t>
  </si>
  <si>
    <t>In the State of Rhode Island, gasoline passenger vehicles weighing less than 8500 lbs must pass a smog check and safety inspection every 2 years.</t>
  </si>
  <si>
    <t>Smog Check Fee: https://www.emissions.org/loc/rhode-island-emissions-testing/#:~:text=In%20the%20State%20of%20Rhode,they%20do%20not%20pass%20it.</t>
  </si>
  <si>
    <t>Smog Check Fee (biennially) ($)</t>
  </si>
  <si>
    <t>CASE-ID</t>
  </si>
  <si>
    <t xml:space="preserve">TCO ($) - 
Toyota Camry LE </t>
  </si>
  <si>
    <t>TCO ($) - 
Tesla Model 3 
(DD; long range)</t>
  </si>
  <si>
    <t>TCO ($) - 
DIFFERENCE</t>
  </si>
  <si>
    <t>RESULT (percentage of TCO of conventional vehicle)</t>
  </si>
  <si>
    <t>MEAN (in $) - 
TCO Toyota Camry LE</t>
  </si>
  <si>
    <t>MEAN (in $) - 
TCO Tesla Model 3</t>
  </si>
  <si>
    <t>MEAN - 
Results (percentage of TCO of conventional vehicle)</t>
  </si>
  <si>
    <t>Austin 
(Texas)</t>
  </si>
  <si>
    <t>Baltimore (Maryland)</t>
  </si>
  <si>
    <t>Boston (Massachusetts)</t>
  </si>
  <si>
    <t>Columbus 
(Ohio)</t>
  </si>
  <si>
    <t>Denver 
(Colorado)</t>
  </si>
  <si>
    <t>Kansas City
(Missouri)</t>
  </si>
  <si>
    <t>Los Angeles (California)</t>
  </si>
  <si>
    <t>Nashville 
(Tennesee)</t>
  </si>
  <si>
    <t>New York City 
(New York)</t>
  </si>
  <si>
    <t>Pheonix 
(Arizona)</t>
  </si>
  <si>
    <t xml:space="preserve">Pittsburgh
(Pennsylvania) </t>
  </si>
  <si>
    <t>Portland
(Oregon)</t>
  </si>
  <si>
    <t>Portland 
(Maine)</t>
  </si>
  <si>
    <t>Providence 
(Rhode Island)</t>
  </si>
  <si>
    <t>Raleigh 
(North Carolina)</t>
  </si>
  <si>
    <t>Seattle
(Washington)</t>
  </si>
  <si>
    <t>MEAN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</si>
</sst>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
    <numFmt numFmtId="166" formatCode="0.000%"/>
    <numFmt numFmtId="167" formatCode="0.00000"/>
  </numFmts>
  <fonts count="22" x14ac:knownFonts="1">
    <font>
      <sz val="11"/>
      <color theme="1"/>
      <name val="Calibri"/>
      <family val="2"/>
      <scheme val="minor"/>
    </font>
    <font>
      <b/>
      <sz val="11"/>
      <color theme="1"/>
      <name val="Calibri"/>
      <family val="2"/>
      <scheme val="minor"/>
    </font>
    <font>
      <sz val="11"/>
      <color rgb="FF202124"/>
      <name val="Calibri"/>
      <family val="2"/>
    </font>
    <font>
      <b/>
      <sz val="11"/>
      <color rgb="FF202124"/>
      <name val="Calibri"/>
      <family val="2"/>
    </font>
    <font>
      <b/>
      <sz val="11"/>
      <color rgb="FF202124"/>
      <name val="Arial"/>
      <family val="2"/>
    </font>
    <font>
      <u/>
      <sz val="11"/>
      <color theme="10"/>
      <name val="Calibri"/>
      <family val="2"/>
      <scheme val="minor"/>
    </font>
    <font>
      <sz val="10"/>
      <color theme="1"/>
      <name val="Calibri"/>
      <family val="2"/>
      <scheme val="minor"/>
    </font>
    <font>
      <b/>
      <sz val="11"/>
      <color theme="1"/>
      <name val="Calibri"/>
      <family val="2"/>
    </font>
    <font>
      <sz val="11"/>
      <color rgb="FF202124"/>
      <name val="Calibri"/>
      <family val="2"/>
      <scheme val="minor"/>
    </font>
    <font>
      <sz val="11"/>
      <color rgb="FF000000"/>
      <name val="Calibri"/>
      <family val="2"/>
    </font>
    <font>
      <sz val="11"/>
      <color rgb="FF333333"/>
      <name val="Calibri"/>
      <family val="2"/>
      <scheme val="minor"/>
    </font>
    <font>
      <b/>
      <sz val="11"/>
      <color rgb="FF333333"/>
      <name val="Calibri"/>
      <family val="2"/>
      <scheme val="minor"/>
    </font>
    <font>
      <b/>
      <sz val="11"/>
      <color rgb="FF202124"/>
      <name val="Calibri"/>
      <family val="2"/>
      <scheme val="minor"/>
    </font>
    <font>
      <sz val="11"/>
      <color rgb="FF202124"/>
      <name val="Arial"/>
      <family val="2"/>
    </font>
    <font>
      <sz val="12"/>
      <color rgb="FF2A3546"/>
      <name val="Calibri"/>
      <family val="2"/>
      <scheme val="minor"/>
    </font>
    <font>
      <sz val="11"/>
      <color rgb="FF2A3546"/>
      <name val="Calibri"/>
      <family val="2"/>
      <scheme val="minor"/>
    </font>
    <font>
      <sz val="11"/>
      <color rgb="FFFF0000"/>
      <name val="Calibri"/>
      <family val="2"/>
    </font>
    <font>
      <sz val="11"/>
      <color rgb="FFA5A5A5"/>
      <name val="Calibri"/>
      <family val="2"/>
    </font>
    <font>
      <sz val="11"/>
      <color theme="1"/>
      <name val="Calibri"/>
      <family val="2"/>
    </font>
    <font>
      <sz val="11"/>
      <color theme="1"/>
      <name val="Calibri"/>
      <family val="2"/>
      <scheme val="minor"/>
    </font>
    <font>
      <sz val="11"/>
      <color theme="0"/>
      <name val="Calibri"/>
      <family val="2"/>
      <scheme val="minor"/>
    </font>
    <font>
      <b/>
      <sz val="11"/>
      <color rgb="FF000000"/>
      <name val="Calibri"/>
      <family val="2"/>
    </font>
  </fonts>
  <fills count="13">
    <fill>
      <patternFill patternType="none"/>
    </fill>
    <fill>
      <patternFill patternType="gray125"/>
    </fill>
    <fill>
      <patternFill patternType="solid">
        <fgColor rgb="FF92D050"/>
        <bgColor rgb="FF92D050"/>
      </patternFill>
    </fill>
    <fill>
      <patternFill patternType="solid">
        <fgColor theme="4"/>
        <bgColor rgb="FF92D050"/>
      </patternFill>
    </fill>
    <fill>
      <patternFill patternType="solid">
        <fgColor theme="0" tint="-4.9989318521683403E-2"/>
        <bgColor indexed="64"/>
      </patternFill>
    </fill>
    <fill>
      <patternFill patternType="solid">
        <fgColor theme="9"/>
        <bgColor rgb="FF92D050"/>
      </patternFill>
    </fill>
    <fill>
      <patternFill patternType="solid">
        <fgColor theme="9" tint="0.79998168889431442"/>
        <bgColor indexed="64"/>
      </patternFill>
    </fill>
    <fill>
      <patternFill patternType="solid">
        <fgColor theme="0" tint="-4.9989318521683403E-2"/>
        <bgColor rgb="FF92D050"/>
      </patternFill>
    </fill>
    <fill>
      <patternFill patternType="solid">
        <fgColor theme="9" tint="0.59999389629810485"/>
        <bgColor rgb="FF92D050"/>
      </patternFill>
    </fill>
    <fill>
      <patternFill patternType="solid">
        <fgColor theme="9" tint="0.79998168889431442"/>
        <bgColor rgb="FF92D050"/>
      </patternFill>
    </fill>
    <fill>
      <patternFill patternType="solid">
        <fgColor rgb="FFFFFFFF"/>
        <bgColor indexed="64"/>
      </patternFill>
    </fill>
    <fill>
      <patternFill patternType="solid">
        <fgColor theme="8"/>
      </patternFill>
    </fill>
    <fill>
      <patternFill patternType="solid">
        <fgColor theme="0" tint="-4.9989318521683403E-2"/>
        <bgColor rgb="FF000000"/>
      </patternFill>
    </fill>
  </fills>
  <borders count="19">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rgb="FFE6E6E6"/>
      </left>
      <right/>
      <top style="medium">
        <color rgb="FFE6E6E6"/>
      </top>
      <bottom style="medium">
        <color rgb="FFE6E6E6"/>
      </bottom>
      <diagonal/>
    </border>
    <border>
      <left/>
      <right/>
      <top style="medium">
        <color rgb="FFE6E6E6"/>
      </top>
      <bottom style="medium">
        <color rgb="FFE6E6E6"/>
      </bottom>
      <diagonal/>
    </border>
    <border>
      <left/>
      <right style="medium">
        <color rgb="FFE6E6E6"/>
      </right>
      <top style="medium">
        <color rgb="FFE6E6E6"/>
      </top>
      <bottom style="medium">
        <color rgb="FFE6E6E6"/>
      </bottom>
      <diagonal/>
    </border>
    <border>
      <left style="medium">
        <color rgb="FFE6E6E6"/>
      </left>
      <right/>
      <top style="thin">
        <color indexed="64"/>
      </top>
      <bottom style="medium">
        <color rgb="FFE6E6E6"/>
      </bottom>
      <diagonal/>
    </border>
    <border>
      <left/>
      <right style="medium">
        <color rgb="FFE6E6E6"/>
      </right>
      <top style="medium">
        <color rgb="FFE6E6E6"/>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5" fillId="0" borderId="0" applyNumberFormat="0" applyFill="0" applyBorder="0" applyAlignment="0" applyProtection="0"/>
    <xf numFmtId="9" fontId="19" fillId="0" borderId="0" applyFont="0" applyFill="0" applyBorder="0" applyAlignment="0" applyProtection="0"/>
    <xf numFmtId="0" fontId="20" fillId="11" borderId="0" applyNumberFormat="0" applyBorder="0" applyAlignment="0" applyProtection="0"/>
  </cellStyleXfs>
  <cellXfs count="367">
    <xf numFmtId="0" fontId="0" fillId="0" borderId="0" xfId="0"/>
    <xf numFmtId="0" fontId="0" fillId="0" borderId="0" xfId="0" applyAlignment="1">
      <alignment horizontal="center" wrapText="1"/>
    </xf>
    <xf numFmtId="0" fontId="0" fillId="0" borderId="0" xfId="0" applyAlignment="1">
      <alignment wrapText="1"/>
    </xf>
    <xf numFmtId="0" fontId="2" fillId="0" borderId="0" xfId="0" applyFont="1"/>
    <xf numFmtId="10" fontId="0" fillId="0" borderId="0" xfId="0" applyNumberFormat="1"/>
    <xf numFmtId="0" fontId="3" fillId="0" borderId="0" xfId="0" applyFont="1"/>
    <xf numFmtId="0" fontId="4" fillId="0" borderId="0" xfId="0" applyFont="1"/>
    <xf numFmtId="9" fontId="0" fillId="0" borderId="0" xfId="0" applyNumberFormat="1"/>
    <xf numFmtId="0" fontId="0" fillId="2" borderId="0" xfId="0" applyFill="1" applyAlignment="1">
      <alignment vertical="top"/>
    </xf>
    <xf numFmtId="0" fontId="1" fillId="3" borderId="0" xfId="0" applyFont="1" applyFill="1" applyAlignment="1">
      <alignment vertical="top"/>
    </xf>
    <xf numFmtId="0" fontId="1" fillId="0" borderId="0" xfId="0" applyFont="1" applyAlignment="1">
      <alignment horizontal="left" vertical="top" wrapText="1"/>
    </xf>
    <xf numFmtId="0" fontId="5" fillId="0" borderId="0" xfId="1" applyAlignment="1"/>
    <xf numFmtId="0" fontId="0" fillId="4" borderId="0" xfId="0" applyFill="1"/>
    <xf numFmtId="0" fontId="1" fillId="0" borderId="1" xfId="0" applyFont="1" applyBorder="1" applyAlignment="1">
      <alignment horizontal="left" vertical="top" wrapText="1"/>
    </xf>
    <xf numFmtId="0" fontId="0" fillId="0" borderId="1" xfId="0" applyBorder="1" applyAlignment="1">
      <alignment horizontal="center" wrapText="1"/>
    </xf>
    <xf numFmtId="0" fontId="0" fillId="0" borderId="1" xfId="0" applyBorder="1" applyAlignment="1">
      <alignment wrapText="1"/>
    </xf>
    <xf numFmtId="0" fontId="2" fillId="0" borderId="1" xfId="0" applyFont="1" applyBorder="1"/>
    <xf numFmtId="0" fontId="0" fillId="0" borderId="1" xfId="0" applyBorder="1"/>
    <xf numFmtId="0" fontId="3" fillId="0" borderId="1" xfId="0" applyFont="1" applyBorder="1"/>
    <xf numFmtId="10" fontId="0" fillId="0" borderId="1" xfId="0" applyNumberFormat="1" applyBorder="1"/>
    <xf numFmtId="0" fontId="5" fillId="0" borderId="0" xfId="1"/>
    <xf numFmtId="2" fontId="0" fillId="0" borderId="0" xfId="0" applyNumberFormat="1"/>
    <xf numFmtId="2" fontId="2" fillId="0" borderId="0" xfId="0" applyNumberFormat="1" applyFont="1"/>
    <xf numFmtId="0" fontId="1" fillId="5" borderId="0" xfId="0" applyFont="1" applyFill="1" applyAlignment="1">
      <alignment vertical="top" wrapText="1"/>
    </xf>
    <xf numFmtId="0" fontId="0" fillId="0" borderId="1" xfId="0" applyFill="1" applyBorder="1"/>
    <xf numFmtId="0" fontId="0" fillId="0" borderId="0" xfId="0" applyFill="1" applyBorder="1"/>
    <xf numFmtId="0" fontId="0" fillId="0" borderId="2" xfId="0" applyBorder="1"/>
    <xf numFmtId="0" fontId="0" fillId="0" borderId="3" xfId="0" applyFill="1" applyBorder="1"/>
    <xf numFmtId="0" fontId="0" fillId="0" borderId="0" xfId="0" applyBorder="1"/>
    <xf numFmtId="0" fontId="1" fillId="7" borderId="0" xfId="0" applyFont="1" applyFill="1" applyAlignment="1">
      <alignment vertical="top" wrapText="1"/>
    </xf>
    <xf numFmtId="0" fontId="0" fillId="0" borderId="1" xfId="0" applyBorder="1" applyAlignment="1">
      <alignment horizontal="right" wrapText="1"/>
    </xf>
    <xf numFmtId="0" fontId="0" fillId="0" borderId="1" xfId="0" applyBorder="1" applyAlignment="1">
      <alignment horizontal="left" vertical="top" wrapText="1"/>
    </xf>
    <xf numFmtId="9" fontId="2" fillId="0" borderId="1" xfId="0" applyNumberFormat="1" applyFont="1" applyBorder="1" applyAlignment="1">
      <alignment horizontal="left"/>
    </xf>
    <xf numFmtId="2" fontId="2" fillId="0" borderId="1" xfId="0" applyNumberFormat="1" applyFont="1" applyBorder="1" applyAlignment="1">
      <alignment horizontal="right"/>
    </xf>
    <xf numFmtId="2" fontId="0" fillId="0" borderId="1" xfId="0" applyNumberFormat="1" applyBorder="1" applyAlignment="1">
      <alignment horizontal="right"/>
    </xf>
    <xf numFmtId="10" fontId="0" fillId="0" borderId="1" xfId="0" applyNumberFormat="1" applyBorder="1" applyAlignment="1">
      <alignment horizontal="right"/>
    </xf>
    <xf numFmtId="0" fontId="2" fillId="0" borderId="1" xfId="0" applyFont="1" applyBorder="1" applyAlignment="1">
      <alignment horizontal="right"/>
    </xf>
    <xf numFmtId="0" fontId="0" fillId="0" borderId="1" xfId="0" applyBorder="1" applyAlignment="1">
      <alignment horizontal="right"/>
    </xf>
    <xf numFmtId="0" fontId="0" fillId="4" borderId="1" xfId="0" applyFill="1" applyBorder="1" applyAlignment="1">
      <alignment horizontal="right"/>
    </xf>
    <xf numFmtId="0" fontId="0" fillId="0" borderId="1" xfId="0" applyFill="1" applyBorder="1" applyAlignment="1">
      <alignment horizontal="right"/>
    </xf>
    <xf numFmtId="0" fontId="0" fillId="0" borderId="1" xfId="0" applyBorder="1" applyAlignment="1">
      <alignment horizontal="center" vertical="center"/>
    </xf>
    <xf numFmtId="0" fontId="7" fillId="7" borderId="0" xfId="0" applyFont="1" applyFill="1" applyAlignment="1">
      <alignment vertical="top" wrapText="1"/>
    </xf>
    <xf numFmtId="0" fontId="1" fillId="8" borderId="0" xfId="0" applyFont="1" applyFill="1" applyAlignment="1">
      <alignment vertical="top" wrapText="1"/>
    </xf>
    <xf numFmtId="0" fontId="1" fillId="8" borderId="2" xfId="0" applyFont="1" applyFill="1" applyBorder="1" applyAlignment="1">
      <alignment horizontal="left" vertical="top" wrapText="1"/>
    </xf>
    <xf numFmtId="0" fontId="0" fillId="0" borderId="5" xfId="0" applyBorder="1"/>
    <xf numFmtId="0" fontId="3" fillId="0" borderId="0" xfId="0" applyFont="1" applyBorder="1"/>
    <xf numFmtId="2" fontId="3" fillId="0" borderId="0" xfId="0" applyNumberFormat="1" applyFont="1" applyBorder="1" applyAlignment="1">
      <alignment horizontal="right"/>
    </xf>
    <xf numFmtId="10" fontId="0" fillId="0" borderId="0" xfId="0" applyNumberFormat="1" applyBorder="1"/>
    <xf numFmtId="2" fontId="8" fillId="0" borderId="1" xfId="0" applyNumberFormat="1" applyFont="1" applyBorder="1" applyAlignment="1">
      <alignment horizontal="right"/>
    </xf>
    <xf numFmtId="2" fontId="0" fillId="0" borderId="0" xfId="0" applyNumberFormat="1" applyBorder="1"/>
    <xf numFmtId="2" fontId="0" fillId="0" borderId="3" xfId="0" applyNumberFormat="1" applyBorder="1"/>
    <xf numFmtId="0" fontId="0" fillId="0" borderId="7" xfId="0" applyBorder="1" applyAlignment="1">
      <alignment horizontal="right"/>
    </xf>
    <xf numFmtId="0" fontId="0" fillId="0" borderId="8" xfId="0" applyBorder="1" applyAlignment="1">
      <alignment horizontal="right"/>
    </xf>
    <xf numFmtId="0" fontId="0" fillId="0" borderId="9" xfId="0" applyBorder="1" applyAlignment="1">
      <alignment horizontal="right"/>
    </xf>
    <xf numFmtId="0" fontId="0" fillId="0" borderId="3" xfId="0" applyBorder="1"/>
    <xf numFmtId="2" fontId="0" fillId="0" borderId="0" xfId="0" applyNumberFormat="1" applyBorder="1" applyAlignment="1">
      <alignment wrapText="1"/>
    </xf>
    <xf numFmtId="0" fontId="5" fillId="0" borderId="0" xfId="1" applyFill="1" applyBorder="1"/>
    <xf numFmtId="0" fontId="9" fillId="0" borderId="0" xfId="0" applyFont="1"/>
    <xf numFmtId="0" fontId="1" fillId="0" borderId="0" xfId="0" applyFont="1"/>
    <xf numFmtId="0" fontId="10" fillId="0" borderId="0" xfId="0" applyFont="1"/>
    <xf numFmtId="0" fontId="1" fillId="0" borderId="3" xfId="0" applyFont="1" applyBorder="1" applyAlignment="1">
      <alignment horizontal="left" vertical="top" wrapText="1"/>
    </xf>
    <xf numFmtId="0" fontId="0" fillId="0" borderId="3" xfId="0" applyBorder="1" applyAlignment="1">
      <alignment horizontal="center" wrapText="1"/>
    </xf>
    <xf numFmtId="0" fontId="0" fillId="0" borderId="3" xfId="0" applyBorder="1" applyAlignment="1">
      <alignment wrapText="1"/>
    </xf>
    <xf numFmtId="0" fontId="2" fillId="0" borderId="3" xfId="0" applyFont="1" applyBorder="1"/>
    <xf numFmtId="0" fontId="3" fillId="0" borderId="3" xfId="0" applyFont="1" applyBorder="1"/>
    <xf numFmtId="10" fontId="0" fillId="0" borderId="3" xfId="0" applyNumberFormat="1" applyBorder="1"/>
    <xf numFmtId="0" fontId="7" fillId="7" borderId="4" xfId="0" applyFont="1" applyFill="1" applyBorder="1" applyAlignment="1">
      <alignment vertical="top" wrapText="1"/>
    </xf>
    <xf numFmtId="0" fontId="1" fillId="7" borderId="4" xfId="0" applyFont="1" applyFill="1" applyBorder="1" applyAlignment="1">
      <alignment vertical="top" wrapText="1"/>
    </xf>
    <xf numFmtId="0" fontId="1" fillId="7" borderId="10" xfId="0" applyFont="1" applyFill="1" applyBorder="1" applyAlignment="1">
      <alignment vertical="top" wrapText="1"/>
    </xf>
    <xf numFmtId="0" fontId="1" fillId="7" borderId="1" xfId="0" applyFont="1" applyFill="1" applyBorder="1" applyAlignment="1">
      <alignment vertical="top" wrapText="1"/>
    </xf>
    <xf numFmtId="2" fontId="0" fillId="0" borderId="1" xfId="0" applyNumberFormat="1" applyFill="1" applyBorder="1"/>
    <xf numFmtId="2" fontId="0" fillId="0" borderId="0" xfId="0" applyNumberFormat="1" applyFill="1" applyBorder="1"/>
    <xf numFmtId="2" fontId="0" fillId="0" borderId="8" xfId="0" applyNumberFormat="1" applyBorder="1"/>
    <xf numFmtId="2" fontId="0" fillId="0" borderId="0" xfId="0" applyNumberFormat="1" applyBorder="1" applyAlignment="1">
      <alignment horizontal="right"/>
    </xf>
    <xf numFmtId="2" fontId="0" fillId="0" borderId="3" xfId="0" applyNumberFormat="1" applyBorder="1" applyAlignment="1">
      <alignment horizontal="right"/>
    </xf>
    <xf numFmtId="2" fontId="3" fillId="0" borderId="0" xfId="0" applyNumberFormat="1" applyFont="1"/>
    <xf numFmtId="2" fontId="3" fillId="6" borderId="1" xfId="0" applyNumberFormat="1" applyFont="1" applyFill="1" applyBorder="1" applyAlignment="1">
      <alignment horizontal="right"/>
    </xf>
    <xf numFmtId="2" fontId="0" fillId="0" borderId="6" xfId="0" applyNumberFormat="1" applyBorder="1"/>
    <xf numFmtId="2" fontId="0" fillId="0" borderId="1" xfId="0" applyNumberFormat="1" applyBorder="1"/>
    <xf numFmtId="2" fontId="3" fillId="6" borderId="1" xfId="0" applyNumberFormat="1" applyFont="1" applyFill="1" applyBorder="1"/>
    <xf numFmtId="0" fontId="1" fillId="0" borderId="0" xfId="0" applyFont="1" applyBorder="1"/>
    <xf numFmtId="0" fontId="1" fillId="3" borderId="2" xfId="0" applyFont="1" applyFill="1" applyBorder="1" applyAlignment="1">
      <alignment vertical="top"/>
    </xf>
    <xf numFmtId="2" fontId="0" fillId="0" borderId="6" xfId="0" applyNumberFormat="1" applyBorder="1" applyAlignment="1">
      <alignment horizontal="right"/>
    </xf>
    <xf numFmtId="0" fontId="0" fillId="2" borderId="2" xfId="0" applyFill="1" applyBorder="1" applyAlignment="1">
      <alignment vertical="top"/>
    </xf>
    <xf numFmtId="0" fontId="0" fillId="0" borderId="6" xfId="0" applyBorder="1"/>
    <xf numFmtId="0" fontId="1" fillId="7" borderId="0" xfId="0" applyFont="1" applyFill="1" applyAlignment="1">
      <alignment horizontal="left" vertical="top" wrapText="1"/>
    </xf>
    <xf numFmtId="0" fontId="1" fillId="7" borderId="4" xfId="0" applyFont="1" applyFill="1" applyBorder="1" applyAlignment="1">
      <alignment horizontal="left" vertical="top" wrapText="1"/>
    </xf>
    <xf numFmtId="0" fontId="4" fillId="0" borderId="1" xfId="0" applyFont="1" applyBorder="1"/>
    <xf numFmtId="9" fontId="0" fillId="0" borderId="1" xfId="0" applyNumberFormat="1" applyBorder="1"/>
    <xf numFmtId="0" fontId="0" fillId="0" borderId="0" xfId="0" applyBorder="1" applyAlignment="1">
      <alignment horizontal="center" wrapText="1"/>
    </xf>
    <xf numFmtId="0" fontId="0" fillId="0" borderId="0" xfId="0" applyBorder="1" applyAlignment="1">
      <alignment wrapText="1"/>
    </xf>
    <xf numFmtId="0" fontId="0" fillId="0" borderId="0" xfId="0" applyFill="1"/>
    <xf numFmtId="0" fontId="0" fillId="0" borderId="0" xfId="0" applyBorder="1" applyAlignment="1">
      <alignment horizontal="left"/>
    </xf>
    <xf numFmtId="0" fontId="2" fillId="0" borderId="0" xfId="0" applyFont="1" applyBorder="1"/>
    <xf numFmtId="0" fontId="1" fillId="0" borderId="0" xfId="0" applyFont="1" applyAlignment="1">
      <alignment vertical="top"/>
    </xf>
    <xf numFmtId="0" fontId="1" fillId="0" borderId="1" xfId="0" applyFont="1" applyBorder="1" applyAlignment="1">
      <alignment vertical="top"/>
    </xf>
    <xf numFmtId="2" fontId="2" fillId="0" borderId="1" xfId="0" applyNumberFormat="1" applyFont="1" applyBorder="1"/>
    <xf numFmtId="0" fontId="0" fillId="4" borderId="1" xfId="0" applyFill="1" applyBorder="1"/>
    <xf numFmtId="0" fontId="0" fillId="4" borderId="0" xfId="0" applyFill="1" applyBorder="1"/>
    <xf numFmtId="0" fontId="1" fillId="7" borderId="8" xfId="0" applyFont="1" applyFill="1" applyBorder="1" applyAlignment="1">
      <alignment vertical="top" wrapText="1"/>
    </xf>
    <xf numFmtId="0" fontId="1" fillId="7" borderId="7" xfId="0" applyFont="1" applyFill="1" applyBorder="1" applyAlignment="1">
      <alignment vertical="top" wrapText="1"/>
    </xf>
    <xf numFmtId="2" fontId="0" fillId="0" borderId="7" xfId="0" applyNumberFormat="1" applyBorder="1"/>
    <xf numFmtId="2" fontId="0" fillId="0" borderId="9" xfId="0" applyNumberFormat="1" applyBorder="1"/>
    <xf numFmtId="0" fontId="0" fillId="4" borderId="3" xfId="0" applyFill="1" applyBorder="1"/>
    <xf numFmtId="0" fontId="1" fillId="0" borderId="0" xfId="0" applyFont="1" applyFill="1" applyAlignment="1">
      <alignment vertical="top" wrapText="1"/>
    </xf>
    <xf numFmtId="0" fontId="1" fillId="0" borderId="0" xfId="0" applyFont="1" applyFill="1" applyAlignment="1">
      <alignment vertical="top"/>
    </xf>
    <xf numFmtId="9" fontId="0" fillId="0" borderId="1" xfId="0" applyNumberFormat="1" applyFill="1" applyBorder="1"/>
    <xf numFmtId="0" fontId="3" fillId="0" borderId="1" xfId="0" applyFont="1" applyFill="1" applyBorder="1"/>
    <xf numFmtId="10" fontId="0" fillId="0" borderId="0" xfId="0" applyNumberFormat="1" applyFill="1"/>
    <xf numFmtId="0" fontId="3" fillId="0" borderId="0" xfId="0" applyFont="1" applyFill="1"/>
    <xf numFmtId="10" fontId="0" fillId="0" borderId="0" xfId="0" applyNumberFormat="1" applyFill="1" applyBorder="1"/>
    <xf numFmtId="0" fontId="3" fillId="0" borderId="0" xfId="0" applyFont="1" applyFill="1" applyBorder="1"/>
    <xf numFmtId="0" fontId="1" fillId="0" borderId="1" xfId="0" applyFont="1" applyFill="1" applyBorder="1" applyAlignment="1">
      <alignment vertical="top" wrapText="1"/>
    </xf>
    <xf numFmtId="0" fontId="1" fillId="0" borderId="1" xfId="0" applyFont="1" applyFill="1" applyBorder="1" applyAlignment="1">
      <alignment vertical="top"/>
    </xf>
    <xf numFmtId="0" fontId="0" fillId="0" borderId="1" xfId="0" applyFont="1" applyBorder="1"/>
    <xf numFmtId="2" fontId="0" fillId="0" borderId="1" xfId="0" applyNumberFormat="1" applyFont="1" applyBorder="1"/>
    <xf numFmtId="0" fontId="0" fillId="0" borderId="0" xfId="0" applyFont="1"/>
    <xf numFmtId="10" fontId="0" fillId="0" borderId="0" xfId="0" applyNumberFormat="1" applyFont="1"/>
    <xf numFmtId="2" fontId="0" fillId="0" borderId="0" xfId="0" applyNumberFormat="1" applyFont="1"/>
    <xf numFmtId="0" fontId="0" fillId="0" borderId="3" xfId="0" applyFont="1" applyBorder="1"/>
    <xf numFmtId="2" fontId="0" fillId="0" borderId="3" xfId="0" applyNumberFormat="1" applyFont="1" applyBorder="1"/>
    <xf numFmtId="2" fontId="8" fillId="0" borderId="1" xfId="0" applyNumberFormat="1" applyFont="1" applyBorder="1"/>
    <xf numFmtId="0" fontId="8" fillId="0" borderId="0" xfId="0" applyFont="1"/>
    <xf numFmtId="10" fontId="0" fillId="0" borderId="1" xfId="0" applyNumberFormat="1" applyFont="1" applyBorder="1"/>
    <xf numFmtId="0" fontId="12" fillId="0" borderId="0" xfId="0" applyFont="1"/>
    <xf numFmtId="0" fontId="12" fillId="0" borderId="0" xfId="0" applyFont="1" applyBorder="1"/>
    <xf numFmtId="0" fontId="0" fillId="0" borderId="0" xfId="0" applyFont="1" applyBorder="1"/>
    <xf numFmtId="10" fontId="0" fillId="0" borderId="0" xfId="0" applyNumberFormat="1" applyFont="1" applyBorder="1"/>
    <xf numFmtId="2" fontId="0" fillId="0" borderId="0" xfId="0" applyNumberFormat="1" applyFont="1" applyBorder="1"/>
    <xf numFmtId="0" fontId="2" fillId="0" borderId="4" xfId="0" applyFont="1" applyBorder="1"/>
    <xf numFmtId="0" fontId="3" fillId="0" borderId="4" xfId="0" applyFont="1" applyBorder="1"/>
    <xf numFmtId="0" fontId="0" fillId="0" borderId="1" xfId="0" applyFont="1" applyBorder="1" applyAlignment="1">
      <alignment horizontal="center" wrapText="1"/>
    </xf>
    <xf numFmtId="0" fontId="0" fillId="0" borderId="1" xfId="0" applyFont="1" applyBorder="1" applyAlignment="1">
      <alignment wrapText="1"/>
    </xf>
    <xf numFmtId="0" fontId="0" fillId="4" borderId="1" xfId="0" applyFont="1" applyFill="1" applyBorder="1"/>
    <xf numFmtId="0" fontId="0" fillId="0" borderId="1" xfId="0" applyFont="1" applyFill="1" applyBorder="1"/>
    <xf numFmtId="0" fontId="0" fillId="0" borderId="0" xfId="0" applyFont="1" applyAlignment="1">
      <alignment horizontal="center" wrapText="1"/>
    </xf>
    <xf numFmtId="0" fontId="0" fillId="0" borderId="0" xfId="0" applyFont="1" applyAlignment="1">
      <alignment wrapText="1"/>
    </xf>
    <xf numFmtId="0" fontId="0" fillId="4" borderId="0" xfId="0" applyFont="1" applyFill="1"/>
    <xf numFmtId="0" fontId="0" fillId="0" borderId="4" xfId="0" applyFont="1" applyBorder="1" applyAlignment="1">
      <alignment horizontal="center" wrapText="1"/>
    </xf>
    <xf numFmtId="0" fontId="0" fillId="0" borderId="4" xfId="0" applyFont="1" applyBorder="1" applyAlignment="1">
      <alignment wrapText="1"/>
    </xf>
    <xf numFmtId="0" fontId="0" fillId="0" borderId="4" xfId="0" applyFont="1" applyBorder="1"/>
    <xf numFmtId="0" fontId="9" fillId="0" borderId="4" xfId="0" applyFont="1" applyBorder="1"/>
    <xf numFmtId="0" fontId="0" fillId="0" borderId="4" xfId="0" applyFont="1" applyFill="1" applyBorder="1"/>
    <xf numFmtId="10" fontId="0" fillId="0" borderId="4" xfId="0" applyNumberFormat="1" applyFont="1" applyBorder="1"/>
    <xf numFmtId="0" fontId="9" fillId="4" borderId="1" xfId="0" applyFont="1" applyFill="1" applyBorder="1"/>
    <xf numFmtId="0" fontId="9" fillId="4" borderId="0" xfId="0" applyFont="1" applyFill="1"/>
    <xf numFmtId="0" fontId="9" fillId="0" borderId="8" xfId="0" applyFont="1" applyBorder="1"/>
    <xf numFmtId="0" fontId="9" fillId="0" borderId="9" xfId="0" applyFont="1" applyBorder="1"/>
    <xf numFmtId="0" fontId="9" fillId="0" borderId="4" xfId="0" applyFont="1" applyFill="1" applyBorder="1"/>
    <xf numFmtId="0" fontId="0" fillId="0" borderId="0" xfId="0" applyFont="1" applyFill="1"/>
    <xf numFmtId="2" fontId="9" fillId="0" borderId="1" xfId="0" applyNumberFormat="1" applyFont="1" applyFill="1" applyBorder="1"/>
    <xf numFmtId="2" fontId="9" fillId="0" borderId="0" xfId="0" applyNumberFormat="1" applyFont="1" applyFill="1"/>
    <xf numFmtId="2" fontId="0" fillId="0" borderId="0" xfId="0" applyNumberFormat="1" applyFont="1" applyFill="1"/>
    <xf numFmtId="0" fontId="9" fillId="0" borderId="0" xfId="0" applyFont="1" applyBorder="1"/>
    <xf numFmtId="0" fontId="9" fillId="0" borderId="3" xfId="0" applyFont="1" applyBorder="1"/>
    <xf numFmtId="0" fontId="0" fillId="0" borderId="3" xfId="0" applyFont="1" applyFill="1" applyBorder="1"/>
    <xf numFmtId="0" fontId="0" fillId="0" borderId="6" xfId="0" applyFont="1" applyFill="1" applyBorder="1"/>
    <xf numFmtId="2" fontId="0" fillId="0" borderId="7" xfId="0" applyNumberFormat="1" applyFont="1" applyBorder="1"/>
    <xf numFmtId="2" fontId="9" fillId="0" borderId="1" xfId="0" applyNumberFormat="1" applyFont="1" applyBorder="1"/>
    <xf numFmtId="2" fontId="0" fillId="0" borderId="6" xfId="0" applyNumberFormat="1" applyFont="1" applyFill="1" applyBorder="1"/>
    <xf numFmtId="2" fontId="0" fillId="0" borderId="1" xfId="0" applyNumberFormat="1" applyFont="1" applyFill="1" applyBorder="1"/>
    <xf numFmtId="2" fontId="0" fillId="0" borderId="2" xfId="0" applyNumberFormat="1" applyFont="1" applyFill="1" applyBorder="1"/>
    <xf numFmtId="2" fontId="0" fillId="0" borderId="0" xfId="0" applyNumberFormat="1" applyFont="1" applyFill="1" applyBorder="1"/>
    <xf numFmtId="2" fontId="0" fillId="0" borderId="5" xfId="0" applyNumberFormat="1" applyFont="1" applyBorder="1"/>
    <xf numFmtId="0" fontId="8" fillId="0" borderId="4" xfId="0" applyFont="1" applyBorder="1"/>
    <xf numFmtId="2" fontId="8" fillId="0" borderId="6" xfId="0" applyNumberFormat="1" applyFont="1" applyBorder="1"/>
    <xf numFmtId="0" fontId="8" fillId="0" borderId="2" xfId="0" applyFont="1" applyBorder="1"/>
    <xf numFmtId="0" fontId="8" fillId="0" borderId="5" xfId="0" applyFont="1" applyBorder="1"/>
    <xf numFmtId="0" fontId="7" fillId="7" borderId="1" xfId="0" applyFont="1" applyFill="1" applyBorder="1" applyAlignment="1">
      <alignment vertical="top" wrapText="1"/>
    </xf>
    <xf numFmtId="0" fontId="1" fillId="4" borderId="1" xfId="0" applyFont="1" applyFill="1" applyBorder="1" applyAlignment="1">
      <alignment vertical="top" wrapText="1"/>
    </xf>
    <xf numFmtId="0" fontId="1" fillId="4" borderId="0" xfId="0" applyFont="1" applyFill="1" applyAlignment="1">
      <alignment vertical="top" wrapText="1"/>
    </xf>
    <xf numFmtId="0" fontId="0" fillId="0" borderId="0" xfId="0" applyFont="1" applyFill="1" applyAlignment="1">
      <alignment vertical="top"/>
    </xf>
    <xf numFmtId="0" fontId="3" fillId="0" borderId="4" xfId="0" applyFont="1" applyFill="1" applyBorder="1"/>
    <xf numFmtId="0" fontId="0" fillId="0" borderId="2" xfId="0" applyFont="1" applyFill="1" applyBorder="1" applyAlignment="1">
      <alignment vertical="top"/>
    </xf>
    <xf numFmtId="0" fontId="3" fillId="0" borderId="6" xfId="0" applyFont="1" applyFill="1" applyBorder="1"/>
    <xf numFmtId="0" fontId="3" fillId="0" borderId="2" xfId="0" applyFont="1" applyFill="1" applyBorder="1"/>
    <xf numFmtId="0" fontId="3" fillId="0" borderId="11" xfId="0" applyFont="1" applyFill="1" applyBorder="1"/>
    <xf numFmtId="0" fontId="3" fillId="0" borderId="6" xfId="0" applyFont="1" applyBorder="1"/>
    <xf numFmtId="0" fontId="3" fillId="0" borderId="2" xfId="0" applyFont="1" applyBorder="1"/>
    <xf numFmtId="0" fontId="3" fillId="0" borderId="5" xfId="0" applyFont="1" applyBorder="1"/>
    <xf numFmtId="2" fontId="1" fillId="6" borderId="1" xfId="0" applyNumberFormat="1" applyFont="1" applyFill="1" applyBorder="1"/>
    <xf numFmtId="0" fontId="4" fillId="0" borderId="3" xfId="0" applyFont="1" applyBorder="1"/>
    <xf numFmtId="0" fontId="0" fillId="7" borderId="3" xfId="0" applyFill="1" applyBorder="1"/>
    <xf numFmtId="0" fontId="0" fillId="7" borderId="5" xfId="0" applyFill="1" applyBorder="1"/>
    <xf numFmtId="0" fontId="1" fillId="4" borderId="4" xfId="0" applyFont="1" applyFill="1" applyBorder="1" applyAlignment="1">
      <alignment vertical="top" wrapText="1"/>
    </xf>
    <xf numFmtId="0" fontId="1" fillId="7" borderId="11" xfId="0" applyFont="1" applyFill="1" applyBorder="1" applyAlignment="1">
      <alignment vertical="top" wrapText="1"/>
    </xf>
    <xf numFmtId="0" fontId="1" fillId="7" borderId="9" xfId="0" applyFont="1" applyFill="1" applyBorder="1" applyAlignment="1">
      <alignment vertical="top" wrapText="1"/>
    </xf>
    <xf numFmtId="0" fontId="1" fillId="7" borderId="3" xfId="0" applyFont="1" applyFill="1" applyBorder="1" applyAlignment="1">
      <alignment vertical="top" wrapText="1"/>
    </xf>
    <xf numFmtId="0" fontId="7" fillId="7" borderId="3" xfId="0" applyFont="1" applyFill="1" applyBorder="1" applyAlignment="1">
      <alignment vertical="top" wrapText="1"/>
    </xf>
    <xf numFmtId="0" fontId="1" fillId="4" borderId="3" xfId="0" applyFont="1" applyFill="1" applyBorder="1" applyAlignment="1">
      <alignment vertical="top" wrapText="1"/>
    </xf>
    <xf numFmtId="0" fontId="1" fillId="7" borderId="5" xfId="0" applyFont="1" applyFill="1" applyBorder="1" applyAlignment="1">
      <alignment vertical="top" wrapText="1"/>
    </xf>
    <xf numFmtId="0" fontId="1" fillId="9" borderId="9" xfId="0" applyFont="1" applyFill="1" applyBorder="1" applyAlignment="1">
      <alignment vertical="top" wrapText="1"/>
    </xf>
    <xf numFmtId="0" fontId="1" fillId="9" borderId="3" xfId="0" applyFont="1" applyFill="1" applyBorder="1" applyAlignment="1">
      <alignment vertical="top" wrapText="1"/>
    </xf>
    <xf numFmtId="0" fontId="1" fillId="9" borderId="10" xfId="0" applyFont="1" applyFill="1" applyBorder="1" applyAlignment="1">
      <alignment vertical="top" wrapText="1"/>
    </xf>
    <xf numFmtId="0" fontId="1" fillId="9" borderId="4" xfId="0" applyFont="1" applyFill="1" applyBorder="1" applyAlignment="1">
      <alignment vertical="top" wrapText="1"/>
    </xf>
    <xf numFmtId="164" fontId="0" fillId="0" borderId="0" xfId="0" applyNumberFormat="1"/>
    <xf numFmtId="2" fontId="0" fillId="0" borderId="0" xfId="0" applyNumberFormat="1" applyAlignment="1">
      <alignment wrapText="1"/>
    </xf>
    <xf numFmtId="0" fontId="13" fillId="0" borderId="0" xfId="0" applyFont="1"/>
    <xf numFmtId="2" fontId="8" fillId="0" borderId="0" xfId="0" applyNumberFormat="1" applyFont="1"/>
    <xf numFmtId="0" fontId="1" fillId="9" borderId="3" xfId="0" applyFont="1" applyFill="1" applyBorder="1" applyAlignment="1">
      <alignment horizontal="left" vertical="top" wrapText="1"/>
    </xf>
    <xf numFmtId="2" fontId="0" fillId="0" borderId="6" xfId="0" applyNumberFormat="1" applyFill="1" applyBorder="1"/>
    <xf numFmtId="2" fontId="0" fillId="0" borderId="2" xfId="0" applyNumberFormat="1" applyFill="1" applyBorder="1"/>
    <xf numFmtId="2" fontId="0" fillId="0" borderId="5" xfId="0" applyNumberFormat="1" applyBorder="1"/>
    <xf numFmtId="0" fontId="14" fillId="10" borderId="12" xfId="0" applyFont="1" applyFill="1" applyBorder="1" applyAlignment="1">
      <alignment vertical="top" wrapText="1"/>
    </xf>
    <xf numFmtId="0" fontId="14" fillId="10" borderId="13" xfId="0" applyFont="1" applyFill="1" applyBorder="1" applyAlignment="1">
      <alignment vertical="top" wrapText="1"/>
    </xf>
    <xf numFmtId="0" fontId="14" fillId="10" borderId="14" xfId="0" applyFont="1" applyFill="1" applyBorder="1" applyAlignment="1">
      <alignment vertical="top" wrapText="1"/>
    </xf>
    <xf numFmtId="0" fontId="15" fillId="10" borderId="15" xfId="0" applyFont="1" applyFill="1" applyBorder="1" applyAlignment="1">
      <alignment vertical="top" wrapText="1"/>
    </xf>
    <xf numFmtId="0" fontId="15" fillId="10" borderId="13" xfId="0" applyFont="1" applyFill="1" applyBorder="1" applyAlignment="1">
      <alignment vertical="top" wrapText="1"/>
    </xf>
    <xf numFmtId="0" fontId="15" fillId="10" borderId="16" xfId="0" applyFont="1" applyFill="1" applyBorder="1" applyAlignment="1">
      <alignment vertical="top" wrapText="1"/>
    </xf>
    <xf numFmtId="2" fontId="1" fillId="6" borderId="0" xfId="0" applyNumberFormat="1" applyFont="1" applyFill="1"/>
    <xf numFmtId="0" fontId="1" fillId="9" borderId="4" xfId="0" applyFont="1" applyFill="1" applyBorder="1" applyAlignment="1">
      <alignment horizontal="left" vertical="top" wrapText="1"/>
    </xf>
    <xf numFmtId="0" fontId="0" fillId="0" borderId="0" xfId="0" applyAlignment="1">
      <alignment horizontal="center" wrapText="1"/>
    </xf>
    <xf numFmtId="0" fontId="1" fillId="0" borderId="0" xfId="0" applyFont="1" applyBorder="1" applyAlignment="1">
      <alignment horizontal="left" wrapText="1"/>
    </xf>
    <xf numFmtId="0" fontId="0" fillId="0" borderId="0" xfId="0" applyFont="1" applyBorder="1" applyAlignment="1">
      <alignment horizontal="center" wrapText="1"/>
    </xf>
    <xf numFmtId="2" fontId="0" fillId="0" borderId="1" xfId="0" applyNumberFormat="1" applyBorder="1" applyAlignment="1">
      <alignment wrapText="1"/>
    </xf>
    <xf numFmtId="2" fontId="1" fillId="7" borderId="4" xfId="0" applyNumberFormat="1" applyFont="1" applyFill="1" applyBorder="1" applyAlignment="1">
      <alignment vertical="top" wrapText="1"/>
    </xf>
    <xf numFmtId="164" fontId="2" fillId="0" borderId="0" xfId="0" applyNumberFormat="1" applyFont="1"/>
    <xf numFmtId="0" fontId="1" fillId="0" borderId="4" xfId="0" applyFont="1" applyBorder="1" applyAlignment="1">
      <alignment horizontal="center" wrapText="1"/>
    </xf>
    <xf numFmtId="0" fontId="0" fillId="0" borderId="4" xfId="0" applyFont="1" applyFill="1" applyBorder="1" applyAlignment="1">
      <alignment horizontal="center" wrapText="1"/>
    </xf>
    <xf numFmtId="0" fontId="0" fillId="0" borderId="4" xfId="0" applyBorder="1" applyAlignment="1">
      <alignment wrapText="1"/>
    </xf>
    <xf numFmtId="2" fontId="0" fillId="0" borderId="4" xfId="0" applyNumberFormat="1" applyBorder="1"/>
    <xf numFmtId="0" fontId="0" fillId="0" borderId="4" xfId="0" applyBorder="1"/>
    <xf numFmtId="2" fontId="0" fillId="0" borderId="4" xfId="0" applyNumberFormat="1" applyFont="1" applyBorder="1"/>
    <xf numFmtId="0" fontId="0" fillId="0" borderId="4" xfId="0" applyFill="1" applyBorder="1"/>
    <xf numFmtId="0" fontId="4" fillId="0" borderId="4" xfId="0" applyFont="1" applyBorder="1"/>
    <xf numFmtId="0" fontId="13" fillId="0" borderId="4" xfId="0" applyFont="1" applyBorder="1"/>
    <xf numFmtId="10" fontId="0" fillId="0" borderId="4" xfId="0" applyNumberFormat="1" applyBorder="1"/>
    <xf numFmtId="2" fontId="0" fillId="0" borderId="0" xfId="0" applyNumberFormat="1" applyFill="1"/>
    <xf numFmtId="0" fontId="16" fillId="0" borderId="0" xfId="0" applyFont="1"/>
    <xf numFmtId="0" fontId="0" fillId="0" borderId="0" xfId="0" applyAlignment="1">
      <alignment vertical="center"/>
    </xf>
    <xf numFmtId="0" fontId="17" fillId="0" borderId="0" xfId="0" applyFont="1" applyFill="1"/>
    <xf numFmtId="0" fontId="0" fillId="0" borderId="4" xfId="0" applyBorder="1" applyAlignment="1">
      <alignment horizontal="center" wrapText="1"/>
    </xf>
    <xf numFmtId="0" fontId="1" fillId="7" borderId="9" xfId="0" applyFont="1" applyFill="1" applyBorder="1" applyAlignment="1">
      <alignment horizontal="left" vertical="top" wrapText="1"/>
    </xf>
    <xf numFmtId="0" fontId="1" fillId="7" borderId="3" xfId="0" applyFont="1" applyFill="1" applyBorder="1" applyAlignment="1">
      <alignment horizontal="left" vertical="top" wrapText="1"/>
    </xf>
    <xf numFmtId="0" fontId="1" fillId="6" borderId="3" xfId="0" applyFont="1" applyFill="1" applyBorder="1" applyAlignment="1">
      <alignment vertical="top" wrapText="1"/>
    </xf>
    <xf numFmtId="0" fontId="0" fillId="0" borderId="0" xfId="0" applyAlignment="1">
      <alignment horizontal="left" vertical="top"/>
    </xf>
    <xf numFmtId="0" fontId="0" fillId="0" borderId="3" xfId="0" applyFont="1" applyBorder="1" applyAlignment="1">
      <alignment horizontal="center" wrapText="1"/>
    </xf>
    <xf numFmtId="10" fontId="0" fillId="0" borderId="0" xfId="0" applyNumberFormat="1" applyAlignment="1">
      <alignment wrapText="1"/>
    </xf>
    <xf numFmtId="0" fontId="1" fillId="7" borderId="0" xfId="0" applyFont="1" applyFill="1" applyBorder="1" applyAlignment="1">
      <alignment horizontal="left" vertical="top" wrapText="1"/>
    </xf>
    <xf numFmtId="0" fontId="1" fillId="7" borderId="0" xfId="0" applyFont="1" applyFill="1" applyBorder="1" applyAlignment="1">
      <alignment vertical="top" wrapText="1"/>
    </xf>
    <xf numFmtId="0" fontId="7" fillId="7" borderId="0" xfId="0" applyFont="1" applyFill="1" applyBorder="1" applyAlignment="1">
      <alignment vertical="top" wrapText="1"/>
    </xf>
    <xf numFmtId="0" fontId="0" fillId="0" borderId="6" xfId="0" applyFont="1" applyBorder="1" applyAlignment="1">
      <alignment horizontal="center" wrapText="1"/>
    </xf>
    <xf numFmtId="0" fontId="18" fillId="0" borderId="0" xfId="0" applyFont="1" applyFill="1"/>
    <xf numFmtId="0" fontId="0" fillId="0" borderId="0" xfId="0" applyFont="1" applyAlignment="1">
      <alignment vertical="top"/>
    </xf>
    <xf numFmtId="2" fontId="0" fillId="4" borderId="1" xfId="0" applyNumberFormat="1" applyFill="1" applyBorder="1"/>
    <xf numFmtId="2" fontId="0" fillId="4" borderId="0" xfId="0" applyNumberFormat="1" applyFill="1"/>
    <xf numFmtId="2" fontId="0" fillId="4" borderId="3" xfId="0" applyNumberFormat="1" applyFill="1" applyBorder="1"/>
    <xf numFmtId="2" fontId="2" fillId="0" borderId="0" xfId="0" applyNumberFormat="1" applyFont="1" applyBorder="1"/>
    <xf numFmtId="2" fontId="0" fillId="0" borderId="4" xfId="0" applyNumberFormat="1" applyBorder="1" applyAlignment="1">
      <alignment wrapText="1"/>
    </xf>
    <xf numFmtId="2" fontId="1" fillId="7" borderId="0" xfId="0" applyNumberFormat="1" applyFont="1" applyFill="1" applyBorder="1" applyAlignment="1">
      <alignment horizontal="left" vertical="top" wrapText="1"/>
    </xf>
    <xf numFmtId="2" fontId="0" fillId="0" borderId="3" xfId="0" applyNumberFormat="1" applyBorder="1" applyAlignment="1">
      <alignment wrapText="1"/>
    </xf>
    <xf numFmtId="2" fontId="2" fillId="0" borderId="3" xfId="0" applyNumberFormat="1" applyFont="1" applyBorder="1"/>
    <xf numFmtId="2" fontId="2" fillId="0" borderId="4" xfId="0" applyNumberFormat="1" applyFont="1" applyBorder="1"/>
    <xf numFmtId="2" fontId="1" fillId="7" borderId="0" xfId="0" applyNumberFormat="1" applyFont="1" applyFill="1" applyAlignment="1">
      <alignment horizontal="left" vertical="top" wrapText="1"/>
    </xf>
    <xf numFmtId="0" fontId="0" fillId="0" borderId="2" xfId="0" applyFill="1" applyBorder="1"/>
    <xf numFmtId="0" fontId="0" fillId="0" borderId="11" xfId="0" applyFill="1" applyBorder="1"/>
    <xf numFmtId="0" fontId="17" fillId="0" borderId="2" xfId="0" applyFont="1" applyFill="1" applyBorder="1"/>
    <xf numFmtId="0" fontId="0" fillId="0" borderId="5" xfId="0" applyFill="1" applyBorder="1"/>
    <xf numFmtId="0" fontId="1" fillId="4" borderId="0" xfId="0" applyFont="1" applyFill="1" applyBorder="1" applyAlignment="1">
      <alignment vertical="top" wrapText="1"/>
    </xf>
    <xf numFmtId="0" fontId="1" fillId="5" borderId="8" xfId="0" applyFont="1" applyFill="1" applyBorder="1" applyAlignment="1">
      <alignment vertical="top" wrapText="1"/>
    </xf>
    <xf numFmtId="2" fontId="1" fillId="6" borderId="8" xfId="0" applyNumberFormat="1" applyFont="1" applyFill="1" applyBorder="1"/>
    <xf numFmtId="0" fontId="0" fillId="0" borderId="8" xfId="0" applyBorder="1"/>
    <xf numFmtId="0" fontId="0" fillId="0" borderId="10" xfId="0" applyBorder="1"/>
    <xf numFmtId="0" fontId="0" fillId="0" borderId="9" xfId="0" applyBorder="1"/>
    <xf numFmtId="0" fontId="17" fillId="0" borderId="8" xfId="0" applyFont="1" applyFill="1" applyBorder="1"/>
    <xf numFmtId="2" fontId="1" fillId="6" borderId="7" xfId="0" applyNumberFormat="1" applyFont="1" applyFill="1" applyBorder="1"/>
    <xf numFmtId="0" fontId="0" fillId="0" borderId="8" xfId="0" applyFont="1" applyBorder="1"/>
    <xf numFmtId="0" fontId="0" fillId="0" borderId="10" xfId="0" applyFont="1" applyBorder="1"/>
    <xf numFmtId="0" fontId="0" fillId="0" borderId="7" xfId="0" applyFill="1" applyBorder="1"/>
    <xf numFmtId="9" fontId="0" fillId="0" borderId="0" xfId="0" applyNumberFormat="1" applyAlignment="1">
      <alignment wrapText="1"/>
    </xf>
    <xf numFmtId="9" fontId="0" fillId="0" borderId="3" xfId="0" applyNumberFormat="1" applyBorder="1"/>
    <xf numFmtId="0" fontId="1" fillId="8" borderId="5" xfId="0" applyFont="1" applyFill="1" applyBorder="1" applyAlignment="1">
      <alignment horizontal="left" vertical="top" wrapText="1"/>
    </xf>
    <xf numFmtId="0" fontId="1" fillId="8" borderId="3" xfId="0" applyFont="1" applyFill="1" applyBorder="1" applyAlignment="1">
      <alignment vertical="top" wrapText="1"/>
    </xf>
    <xf numFmtId="0" fontId="1" fillId="5" borderId="9" xfId="0" applyFont="1" applyFill="1" applyBorder="1" applyAlignment="1">
      <alignment vertical="top" wrapText="1"/>
    </xf>
    <xf numFmtId="165" fontId="0" fillId="0" borderId="0" xfId="0" applyNumberFormat="1" applyAlignment="1">
      <alignment wrapText="1"/>
    </xf>
    <xf numFmtId="165" fontId="0" fillId="0" borderId="3" xfId="0" applyNumberFormat="1" applyBorder="1" applyAlignment="1">
      <alignment wrapText="1"/>
    </xf>
    <xf numFmtId="164" fontId="0" fillId="0" borderId="3" xfId="0" applyNumberFormat="1" applyBorder="1"/>
    <xf numFmtId="10" fontId="1" fillId="7" borderId="3" xfId="0" applyNumberFormat="1" applyFont="1" applyFill="1" applyBorder="1" applyAlignment="1">
      <alignment vertical="top" wrapText="1"/>
    </xf>
    <xf numFmtId="9" fontId="0" fillId="0" borderId="0" xfId="0" applyNumberFormat="1" applyBorder="1"/>
    <xf numFmtId="9" fontId="0" fillId="0" borderId="4" xfId="0" applyNumberFormat="1" applyBorder="1"/>
    <xf numFmtId="0" fontId="1" fillId="6" borderId="8" xfId="0" applyFont="1" applyFill="1" applyBorder="1"/>
    <xf numFmtId="0" fontId="0" fillId="0" borderId="7" xfId="0" applyBorder="1"/>
    <xf numFmtId="0" fontId="1" fillId="6" borderId="4" xfId="0" applyFont="1" applyFill="1" applyBorder="1" applyAlignment="1">
      <alignment vertical="top" wrapText="1"/>
    </xf>
    <xf numFmtId="0" fontId="1" fillId="0" borderId="0" xfId="0" applyFont="1" applyBorder="1" applyAlignment="1">
      <alignment horizontal="left" wrapText="1"/>
    </xf>
    <xf numFmtId="166" fontId="0" fillId="0" borderId="0" xfId="0" applyNumberFormat="1"/>
    <xf numFmtId="0" fontId="4" fillId="0" borderId="0" xfId="0" applyFont="1" applyFill="1"/>
    <xf numFmtId="0" fontId="0" fillId="0" borderId="5" xfId="0" applyBorder="1" applyAlignment="1">
      <alignment horizontal="center" wrapText="1"/>
    </xf>
    <xf numFmtId="0" fontId="1" fillId="5" borderId="10" xfId="0" applyFont="1" applyFill="1" applyBorder="1" applyAlignment="1">
      <alignment vertical="top" wrapText="1"/>
    </xf>
    <xf numFmtId="2" fontId="8" fillId="0" borderId="0" xfId="0" applyNumberFormat="1" applyFont="1" applyFill="1"/>
    <xf numFmtId="2" fontId="8" fillId="0" borderId="3" xfId="0" applyNumberFormat="1" applyFont="1" applyFill="1" applyBorder="1"/>
    <xf numFmtId="2" fontId="0" fillId="0" borderId="3" xfId="0" applyNumberFormat="1" applyFont="1" applyFill="1" applyBorder="1"/>
    <xf numFmtId="2" fontId="0" fillId="0" borderId="3" xfId="0" applyNumberFormat="1" applyFill="1" applyBorder="1"/>
    <xf numFmtId="2" fontId="1" fillId="0" borderId="0" xfId="0" applyNumberFormat="1" applyFont="1" applyFill="1" applyBorder="1"/>
    <xf numFmtId="2" fontId="8" fillId="0" borderId="0" xfId="0" applyNumberFormat="1" applyFont="1" applyFill="1" applyBorder="1"/>
    <xf numFmtId="0" fontId="1" fillId="6" borderId="0" xfId="0" applyFont="1" applyFill="1" applyBorder="1" applyAlignment="1">
      <alignment vertical="top" wrapText="1"/>
    </xf>
    <xf numFmtId="0" fontId="0" fillId="0" borderId="0" xfId="0" applyAlignment="1">
      <alignment vertical="top"/>
    </xf>
    <xf numFmtId="2" fontId="0" fillId="0" borderId="0" xfId="0" applyNumberFormat="1" applyAlignment="1">
      <alignment vertical="top"/>
    </xf>
    <xf numFmtId="2" fontId="0" fillId="0" borderId="3" xfId="0" applyNumberFormat="1" applyBorder="1" applyAlignment="1">
      <alignment vertical="top"/>
    </xf>
    <xf numFmtId="0" fontId="1" fillId="9" borderId="11" xfId="0" applyFont="1" applyFill="1" applyBorder="1" applyAlignment="1">
      <alignment horizontal="left" vertical="top" wrapText="1"/>
    </xf>
    <xf numFmtId="2" fontId="0" fillId="0" borderId="2" xfId="0" applyNumberFormat="1" applyBorder="1"/>
    <xf numFmtId="10" fontId="0" fillId="4" borderId="0" xfId="0" applyNumberFormat="1" applyFill="1"/>
    <xf numFmtId="2" fontId="0" fillId="0" borderId="1" xfId="0" applyNumberFormat="1" applyFont="1" applyBorder="1" applyAlignment="1">
      <alignment wrapText="1"/>
    </xf>
    <xf numFmtId="2" fontId="0" fillId="0" borderId="0" xfId="0" applyNumberFormat="1" applyFont="1" applyAlignment="1">
      <alignment wrapText="1"/>
    </xf>
    <xf numFmtId="0" fontId="1" fillId="9" borderId="0" xfId="0" applyFont="1" applyFill="1" applyAlignment="1">
      <alignment vertical="top" wrapText="1"/>
    </xf>
    <xf numFmtId="0" fontId="1" fillId="9" borderId="1" xfId="0" applyFont="1" applyFill="1" applyBorder="1" applyAlignment="1">
      <alignment vertical="top" wrapText="1"/>
    </xf>
    <xf numFmtId="165" fontId="0" fillId="0" borderId="1" xfId="0" applyNumberFormat="1" applyFont="1" applyBorder="1"/>
    <xf numFmtId="167" fontId="0" fillId="0" borderId="1" xfId="0" applyNumberFormat="1" applyFont="1" applyBorder="1"/>
    <xf numFmtId="0" fontId="1" fillId="6" borderId="0" xfId="0" applyFont="1" applyFill="1" applyAlignment="1">
      <alignment vertical="top" wrapText="1"/>
    </xf>
    <xf numFmtId="0" fontId="1" fillId="6" borderId="1" xfId="0" applyFont="1" applyFill="1" applyBorder="1" applyAlignment="1">
      <alignment vertical="top" wrapText="1"/>
    </xf>
    <xf numFmtId="0" fontId="1" fillId="9" borderId="8" xfId="0" applyFont="1" applyFill="1" applyBorder="1" applyAlignment="1">
      <alignment vertical="top" wrapText="1"/>
    </xf>
    <xf numFmtId="0" fontId="1" fillId="9" borderId="7" xfId="0" applyFont="1" applyFill="1" applyBorder="1" applyAlignment="1">
      <alignment vertical="top" wrapText="1"/>
    </xf>
    <xf numFmtId="2" fontId="0" fillId="0" borderId="5" xfId="0" applyNumberFormat="1" applyFill="1" applyBorder="1"/>
    <xf numFmtId="167" fontId="2" fillId="0" borderId="0" xfId="0" applyNumberFormat="1" applyFont="1"/>
    <xf numFmtId="2" fontId="0" fillId="0" borderId="0" xfId="0" applyNumberFormat="1" applyFont="1" applyBorder="1" applyAlignment="1">
      <alignment wrapText="1"/>
    </xf>
    <xf numFmtId="2" fontId="0" fillId="0" borderId="5" xfId="0" applyNumberFormat="1" applyFont="1" applyFill="1" applyBorder="1"/>
    <xf numFmtId="2" fontId="1" fillId="0" borderId="8" xfId="0" applyNumberFormat="1" applyFont="1" applyFill="1" applyBorder="1"/>
    <xf numFmtId="0" fontId="0" fillId="0" borderId="8" xfId="0" applyFill="1" applyBorder="1"/>
    <xf numFmtId="0" fontId="0" fillId="0" borderId="9" xfId="0" applyFill="1" applyBorder="1"/>
    <xf numFmtId="2" fontId="1" fillId="6" borderId="7" xfId="0" applyNumberFormat="1" applyFont="1" applyFill="1" applyBorder="1" applyAlignment="1">
      <alignment vertical="top" wrapText="1"/>
    </xf>
    <xf numFmtId="0" fontId="8" fillId="0" borderId="3" xfId="0" applyFont="1" applyBorder="1"/>
    <xf numFmtId="10" fontId="0" fillId="0" borderId="3" xfId="0" applyNumberFormat="1" applyFill="1" applyBorder="1"/>
    <xf numFmtId="0" fontId="3" fillId="0" borderId="3" xfId="0" applyFont="1" applyFill="1" applyBorder="1"/>
    <xf numFmtId="2" fontId="0" fillId="0" borderId="8" xfId="0" applyNumberFormat="1" applyFont="1" applyBorder="1"/>
    <xf numFmtId="2" fontId="0" fillId="0" borderId="9" xfId="0" applyNumberFormat="1" applyFont="1" applyBorder="1"/>
    <xf numFmtId="164" fontId="1" fillId="6" borderId="8" xfId="0" applyNumberFormat="1" applyFont="1" applyFill="1" applyBorder="1"/>
    <xf numFmtId="0" fontId="1" fillId="0" borderId="1" xfId="0" applyFont="1" applyBorder="1" applyAlignment="1">
      <alignment horizontal="left" wrapText="1"/>
    </xf>
    <xf numFmtId="0" fontId="1" fillId="0" borderId="0" xfId="0" applyFont="1" applyBorder="1" applyAlignment="1">
      <alignment horizontal="left" wrapText="1"/>
    </xf>
    <xf numFmtId="0" fontId="1" fillId="0" borderId="3" xfId="0" applyFont="1" applyBorder="1" applyAlignment="1">
      <alignment horizontal="left" wrapText="1"/>
    </xf>
    <xf numFmtId="0" fontId="1" fillId="0" borderId="8" xfId="0" applyFont="1" applyBorder="1" applyAlignment="1">
      <alignment horizontal="center" wrapText="1"/>
    </xf>
    <xf numFmtId="0" fontId="0" fillId="0" borderId="8" xfId="0" applyBorder="1" applyAlignment="1">
      <alignment horizontal="center" wrapText="1"/>
    </xf>
    <xf numFmtId="0" fontId="0" fillId="0" borderId="9" xfId="0" applyBorder="1" applyAlignment="1">
      <alignment horizontal="center" wrapText="1"/>
    </xf>
    <xf numFmtId="0" fontId="1" fillId="0" borderId="7" xfId="0" applyFont="1" applyBorder="1" applyAlignment="1">
      <alignment horizontal="left" wrapText="1"/>
    </xf>
    <xf numFmtId="0" fontId="1" fillId="0" borderId="8" xfId="0" applyFont="1" applyBorder="1" applyAlignment="1">
      <alignment horizontal="left" wrapText="1"/>
    </xf>
    <xf numFmtId="0" fontId="1" fillId="0" borderId="9" xfId="0" applyFont="1" applyBorder="1" applyAlignment="1">
      <alignment horizontal="left" wrapText="1"/>
    </xf>
    <xf numFmtId="0" fontId="1" fillId="0" borderId="7" xfId="0" applyFont="1" applyBorder="1" applyAlignment="1">
      <alignment horizontal="center" wrapText="1"/>
    </xf>
    <xf numFmtId="0" fontId="1" fillId="0" borderId="9" xfId="0" applyFont="1" applyBorder="1" applyAlignment="1">
      <alignment horizontal="center" wrapText="1"/>
    </xf>
    <xf numFmtId="0" fontId="1" fillId="0" borderId="1" xfId="0" applyFont="1" applyBorder="1" applyAlignment="1">
      <alignment horizontal="left" vertical="top" wrapText="1"/>
    </xf>
    <xf numFmtId="0" fontId="1" fillId="0" borderId="0" xfId="0" applyFont="1" applyBorder="1" applyAlignment="1">
      <alignment horizontal="left" vertical="top" wrapText="1"/>
    </xf>
    <xf numFmtId="0" fontId="1" fillId="0" borderId="3" xfId="0" applyFont="1" applyBorder="1" applyAlignment="1">
      <alignment horizontal="left" vertical="top" wrapText="1"/>
    </xf>
    <xf numFmtId="0" fontId="1" fillId="0" borderId="0" xfId="0" applyFont="1" applyAlignment="1">
      <alignment horizontal="left" vertical="top" wrapText="1"/>
    </xf>
    <xf numFmtId="0" fontId="0" fillId="0" borderId="0" xfId="0" applyFont="1" applyAlignment="1">
      <alignment horizontal="left"/>
    </xf>
    <xf numFmtId="0" fontId="6" fillId="0" borderId="0" xfId="0" applyFont="1" applyAlignment="1">
      <alignment horizontal="left"/>
    </xf>
    <xf numFmtId="0" fontId="21" fillId="0" borderId="9" xfId="3" applyFont="1" applyFill="1" applyBorder="1" applyAlignment="1">
      <alignment horizontal="center" vertical="center"/>
    </xf>
    <xf numFmtId="0" fontId="21" fillId="0" borderId="3" xfId="0" applyFont="1" applyBorder="1" applyAlignment="1">
      <alignment horizontal="center" vertical="center" wrapText="1"/>
    </xf>
    <xf numFmtId="0" fontId="21" fillId="0" borderId="17" xfId="0" applyFont="1" applyBorder="1" applyAlignment="1">
      <alignment horizontal="center" vertical="center" wrapText="1"/>
    </xf>
    <xf numFmtId="0" fontId="18" fillId="0" borderId="0" xfId="0" applyFont="1"/>
    <xf numFmtId="0" fontId="21" fillId="0" borderId="5" xfId="0" applyFont="1" applyBorder="1" applyAlignment="1">
      <alignment horizontal="center" vertical="center" wrapText="1"/>
    </xf>
    <xf numFmtId="0" fontId="21" fillId="0" borderId="8" xfId="0" applyFont="1" applyBorder="1" applyAlignment="1">
      <alignment horizontal="center" vertical="center" wrapText="1"/>
    </xf>
    <xf numFmtId="2" fontId="21" fillId="0" borderId="0" xfId="0" applyNumberFormat="1" applyFont="1" applyAlignment="1">
      <alignment horizontal="center" vertical="center"/>
    </xf>
    <xf numFmtId="2" fontId="21" fillId="0" borderId="18" xfId="0" applyNumberFormat="1" applyFont="1" applyBorder="1" applyAlignment="1">
      <alignment horizontal="center" vertical="center"/>
    </xf>
    <xf numFmtId="2" fontId="21" fillId="0" borderId="2" xfId="0" applyNumberFormat="1" applyFont="1" applyBorder="1" applyAlignment="1">
      <alignment horizontal="center" vertical="center"/>
    </xf>
    <xf numFmtId="10" fontId="21" fillId="0" borderId="18" xfId="0" applyNumberFormat="1" applyFont="1" applyBorder="1" applyAlignment="1">
      <alignment horizontal="center" vertical="center"/>
    </xf>
    <xf numFmtId="0" fontId="18" fillId="0" borderId="2" xfId="0" applyFont="1" applyBorder="1"/>
    <xf numFmtId="0" fontId="18" fillId="0" borderId="18" xfId="0" applyFont="1" applyBorder="1"/>
    <xf numFmtId="0" fontId="21" fillId="0" borderId="9" xfId="0" applyFont="1" applyBorder="1" applyAlignment="1">
      <alignment horizontal="center" vertical="center" wrapText="1"/>
    </xf>
    <xf numFmtId="2" fontId="21" fillId="0" borderId="3" xfId="0" applyNumberFormat="1" applyFont="1" applyBorder="1" applyAlignment="1">
      <alignment horizontal="center" vertical="center"/>
    </xf>
    <xf numFmtId="2" fontId="21" fillId="0" borderId="17" xfId="0" applyNumberFormat="1" applyFont="1" applyBorder="1" applyAlignment="1">
      <alignment horizontal="center" vertical="center"/>
    </xf>
    <xf numFmtId="0" fontId="18" fillId="0" borderId="3" xfId="0" applyFont="1" applyBorder="1"/>
    <xf numFmtId="0" fontId="18" fillId="0" borderId="5" xfId="0" applyFont="1" applyBorder="1"/>
    <xf numFmtId="0" fontId="18" fillId="0" borderId="17" xfId="0" applyFont="1" applyBorder="1"/>
    <xf numFmtId="0" fontId="21" fillId="0" borderId="8" xfId="0" applyFont="1" applyBorder="1" applyAlignment="1">
      <alignment horizontal="center" vertical="center"/>
    </xf>
    <xf numFmtId="2" fontId="18" fillId="0" borderId="0" xfId="0" applyNumberFormat="1" applyFont="1" applyAlignment="1">
      <alignment horizontal="center" vertical="center"/>
    </xf>
    <xf numFmtId="2" fontId="18" fillId="0" borderId="18" xfId="0" applyNumberFormat="1" applyFont="1" applyBorder="1" applyAlignment="1">
      <alignment horizontal="center" vertical="center"/>
    </xf>
    <xf numFmtId="10" fontId="18" fillId="0" borderId="18" xfId="2" applyNumberFormat="1" applyFont="1" applyFill="1" applyBorder="1" applyAlignment="1">
      <alignment horizontal="center" vertical="center"/>
    </xf>
    <xf numFmtId="0" fontId="21" fillId="12" borderId="17" xfId="0" applyFont="1" applyFill="1" applyBorder="1" applyAlignment="1">
      <alignment horizontal="center" vertical="center" wrapText="1"/>
    </xf>
    <xf numFmtId="10" fontId="21" fillId="12" borderId="18" xfId="2" applyNumberFormat="1" applyFont="1" applyFill="1" applyBorder="1" applyAlignment="1">
      <alignment horizontal="center" vertical="center"/>
    </xf>
    <xf numFmtId="10" fontId="21" fillId="12" borderId="17" xfId="2" applyNumberFormat="1" applyFont="1" applyFill="1" applyBorder="1" applyAlignment="1">
      <alignment horizontal="center" vertical="center"/>
    </xf>
  </cellXfs>
  <cellStyles count="4">
    <cellStyle name="Akzent5" xfId="3" builtinId="45"/>
    <cellStyle name="Link" xfId="1" builtinId="8"/>
    <cellStyle name="Prozent" xfId="2"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https://dor.mo.gov/motor-vehicle/titling-registration/buying-vehicle.html"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www.dmv.ca.gov/wasapp/FeeCalculatorWeb/newVehicleForm.do" TargetMode="External"/><Relationship Id="rId1" Type="http://schemas.openxmlformats.org/officeDocument/2006/relationships/hyperlink" Target="https://casetext.com/statute/california-codes/california-vehicle-code/division-3-registration-of-vehicles-and-certificates-of-title/chapter-6-registration-and-weight-fees/article-2-registration-fees/section-92506-road-improvement-fee"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nashville.gov/departments/county-clerk/motor-vehicle-services/fee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salestaxhandbook.com/arizona/rates/phoenix" TargetMode="External"/><Relationship Id="rId2" Type="http://schemas.openxmlformats.org/officeDocument/2006/relationships/hyperlink" Target="https://www.caranddriver.com/toyota/camry-2017" TargetMode="External"/><Relationship Id="rId1" Type="http://schemas.openxmlformats.org/officeDocument/2006/relationships/hyperlink" Target="https://www.caranddriver.com/tesla/model-3-2017" TargetMode="External"/><Relationship Id="rId5" Type="http://schemas.openxmlformats.org/officeDocument/2006/relationships/printerSettings" Target="../printerSettings/printerSettings1.bin"/><Relationship Id="rId4" Type="http://schemas.openxmlformats.org/officeDocument/2006/relationships/hyperlink" Target="https://www.edmunds.com/toyota/camry/2017/cost-to-own/?style=401647953"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www.dot.state.pa.us/public/dvspubsforms/bmv/bmv%20fact%20sheets/fs-buysell.pdf" TargetMode="External"/><Relationship Id="rId1" Type="http://schemas.openxmlformats.org/officeDocument/2006/relationships/hyperlink" Target="https://www.dmv.pa.gov/Information-Centers/Payment/pages/payments-and-fees-page.aspx"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maine.gov/sos/bmv/registration/regfees.html"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Downloads/passenger-and-commercial-reg-by-weight%20(1).pdf" TargetMode="External"/></Relationships>
</file>

<file path=xl/worksheets/_rels/sheet17.xml.rels><?xml version="1.0" encoding="UTF-8" standalone="yes"?>
<Relationships xmlns="http://schemas.openxmlformats.org/package/2006/relationships"><Relationship Id="rId2" Type="http://schemas.openxmlformats.org/officeDocument/2006/relationships/hyperlink" Target="https://www.salestaxhandbook.com/washington/sales-tax-vehicles" TargetMode="External"/><Relationship Id="rId1" Type="http://schemas.openxmlformats.org/officeDocument/2006/relationships/hyperlink" Target="https://www.dol.wa.gov/vehicles-and-boats/vehicle-registration/calculate-vehicle-tab-fe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4AD85-7A1A-4BA1-8620-134665E2E9DB}">
  <dimension ref="A1:I18"/>
  <sheetViews>
    <sheetView zoomScale="130" zoomScaleNormal="130" workbookViewId="0">
      <selection activeCell="L9" sqref="L9"/>
    </sheetView>
  </sheetViews>
  <sheetFormatPr baseColWidth="10" defaultRowHeight="15" x14ac:dyDescent="0.25"/>
  <cols>
    <col min="1" max="1" width="16.140625" customWidth="1"/>
    <col min="2" max="5" width="14" customWidth="1"/>
    <col min="6" max="6" width="2.5703125" customWidth="1"/>
  </cols>
  <sheetData>
    <row r="1" spans="1:9" ht="90" x14ac:dyDescent="0.25">
      <c r="A1" s="342" t="s">
        <v>189</v>
      </c>
      <c r="B1" s="343" t="s">
        <v>190</v>
      </c>
      <c r="C1" s="344" t="s">
        <v>191</v>
      </c>
      <c r="D1" s="344" t="s">
        <v>192</v>
      </c>
      <c r="E1" s="364" t="s">
        <v>193</v>
      </c>
      <c r="F1" s="345"/>
      <c r="G1" s="346" t="s">
        <v>194</v>
      </c>
      <c r="H1" s="344" t="s">
        <v>195</v>
      </c>
      <c r="I1" s="344" t="s">
        <v>196</v>
      </c>
    </row>
    <row r="2" spans="1:9" ht="30" x14ac:dyDescent="0.25">
      <c r="A2" s="347" t="s">
        <v>197</v>
      </c>
      <c r="B2" s="348">
        <v>35191.966932832307</v>
      </c>
      <c r="C2" s="349">
        <v>48632.126004203805</v>
      </c>
      <c r="D2" s="349">
        <f>C2-B2</f>
        <v>13440.159071371498</v>
      </c>
      <c r="E2" s="365">
        <f>D2/B2</f>
        <v>0.38190985735533062</v>
      </c>
      <c r="F2" s="345"/>
      <c r="G2" s="350">
        <f>AVERAGE(B2:B17)</f>
        <v>33486.306311063032</v>
      </c>
      <c r="H2" s="349">
        <f>AVERAGE(C2:C17)</f>
        <v>45923.997996231345</v>
      </c>
      <c r="I2" s="351">
        <f>AVERAGE(E2:E17)</f>
        <v>0.37222062669395856</v>
      </c>
    </row>
    <row r="3" spans="1:9" ht="30" x14ac:dyDescent="0.25">
      <c r="A3" s="347" t="s">
        <v>198</v>
      </c>
      <c r="B3" s="348">
        <v>34270.349864087249</v>
      </c>
      <c r="C3" s="349">
        <v>44894.845779820549</v>
      </c>
      <c r="D3" s="349">
        <f t="shared" ref="D3:D17" si="0">C3-B3</f>
        <v>10624.4959157333</v>
      </c>
      <c r="E3" s="365">
        <f>D3/B3</f>
        <v>0.31002005984382941</v>
      </c>
      <c r="F3" s="345"/>
      <c r="G3" s="352"/>
      <c r="H3" s="353"/>
      <c r="I3" s="353"/>
    </row>
    <row r="4" spans="1:9" ht="45" x14ac:dyDescent="0.25">
      <c r="A4" s="347" t="s">
        <v>199</v>
      </c>
      <c r="B4" s="348">
        <v>35149.690077053165</v>
      </c>
      <c r="C4" s="349">
        <v>54214.408253423004</v>
      </c>
      <c r="D4" s="349">
        <f t="shared" si="0"/>
        <v>19064.718176369839</v>
      </c>
      <c r="E4" s="365">
        <f t="shared" ref="E4:E17" si="1">D4/B4</f>
        <v>0.54238652274251187</v>
      </c>
      <c r="F4" s="345"/>
      <c r="G4" s="352"/>
      <c r="H4" s="353"/>
      <c r="I4" s="353"/>
    </row>
    <row r="5" spans="1:9" ht="30" x14ac:dyDescent="0.25">
      <c r="A5" s="347" t="s">
        <v>200</v>
      </c>
      <c r="B5" s="348">
        <v>31465.236209250281</v>
      </c>
      <c r="C5" s="349">
        <v>27524.578050516633</v>
      </c>
      <c r="D5" s="349">
        <f t="shared" si="0"/>
        <v>-3940.6581587336477</v>
      </c>
      <c r="E5" s="365">
        <f t="shared" si="1"/>
        <v>-0.12523847374058983</v>
      </c>
      <c r="F5" s="345"/>
      <c r="G5" s="352"/>
      <c r="H5" s="353"/>
      <c r="I5" s="353"/>
    </row>
    <row r="6" spans="1:9" ht="30" x14ac:dyDescent="0.25">
      <c r="A6" s="347" t="s">
        <v>201</v>
      </c>
      <c r="B6" s="348">
        <v>30040.695784756601</v>
      </c>
      <c r="C6" s="349">
        <v>45615.80267083842</v>
      </c>
      <c r="D6" s="349">
        <f t="shared" si="0"/>
        <v>15575.10688608182</v>
      </c>
      <c r="E6" s="365">
        <f t="shared" si="1"/>
        <v>0.51846691560270108</v>
      </c>
      <c r="F6" s="345"/>
      <c r="G6" s="352"/>
      <c r="H6" s="353"/>
      <c r="I6" s="353"/>
    </row>
    <row r="7" spans="1:9" ht="30" x14ac:dyDescent="0.25">
      <c r="A7" s="347" t="s">
        <v>202</v>
      </c>
      <c r="B7" s="348">
        <v>31693.188115865516</v>
      </c>
      <c r="C7" s="349">
        <v>47750.892870315249</v>
      </c>
      <c r="D7" s="349">
        <f t="shared" si="0"/>
        <v>16057.704754449733</v>
      </c>
      <c r="E7" s="365">
        <f t="shared" si="1"/>
        <v>0.50666107479453271</v>
      </c>
      <c r="F7" s="345"/>
      <c r="G7" s="352"/>
      <c r="H7" s="353"/>
      <c r="I7" s="353"/>
    </row>
    <row r="8" spans="1:9" ht="45" x14ac:dyDescent="0.25">
      <c r="A8" s="347" t="s">
        <v>203</v>
      </c>
      <c r="B8" s="348">
        <v>39511.119805481139</v>
      </c>
      <c r="C8" s="349">
        <v>50032.72840282393</v>
      </c>
      <c r="D8" s="349">
        <f t="shared" si="0"/>
        <v>10521.608597342791</v>
      </c>
      <c r="E8" s="365">
        <f t="shared" si="1"/>
        <v>0.26629487215604536</v>
      </c>
      <c r="F8" s="345"/>
      <c r="G8" s="352"/>
      <c r="H8" s="353"/>
      <c r="I8" s="353"/>
    </row>
    <row r="9" spans="1:9" ht="30" x14ac:dyDescent="0.25">
      <c r="A9" s="347" t="s">
        <v>204</v>
      </c>
      <c r="B9" s="348">
        <v>32281.996771282946</v>
      </c>
      <c r="C9" s="349">
        <v>49027.089624690809</v>
      </c>
      <c r="D9" s="349">
        <f t="shared" si="0"/>
        <v>16745.092853407863</v>
      </c>
      <c r="E9" s="365">
        <f t="shared" si="1"/>
        <v>0.51871304529414286</v>
      </c>
      <c r="F9" s="345"/>
      <c r="G9" s="352"/>
      <c r="H9" s="353"/>
      <c r="I9" s="353"/>
    </row>
    <row r="10" spans="1:9" ht="45" x14ac:dyDescent="0.25">
      <c r="A10" s="347" t="s">
        <v>205</v>
      </c>
      <c r="B10" s="348">
        <v>34014.298441743224</v>
      </c>
      <c r="C10" s="349">
        <v>47849.400250373306</v>
      </c>
      <c r="D10" s="349">
        <f t="shared" si="0"/>
        <v>13835.101808630083</v>
      </c>
      <c r="E10" s="365">
        <f t="shared" si="1"/>
        <v>0.40674370610129323</v>
      </c>
      <c r="F10" s="345"/>
      <c r="G10" s="352"/>
      <c r="H10" s="353"/>
      <c r="I10" s="353"/>
    </row>
    <row r="11" spans="1:9" ht="30" x14ac:dyDescent="0.25">
      <c r="A11" s="347" t="s">
        <v>206</v>
      </c>
      <c r="B11" s="348">
        <v>35080.582563808115</v>
      </c>
      <c r="C11" s="349">
        <v>46990.025151198482</v>
      </c>
      <c r="D11" s="349">
        <f t="shared" si="0"/>
        <v>11909.442587390367</v>
      </c>
      <c r="E11" s="365">
        <f t="shared" si="1"/>
        <v>0.33948816459157333</v>
      </c>
      <c r="F11" s="345"/>
      <c r="G11" s="352"/>
      <c r="H11" s="353"/>
      <c r="I11" s="353"/>
    </row>
    <row r="12" spans="1:9" ht="45" x14ac:dyDescent="0.25">
      <c r="A12" s="347" t="s">
        <v>207</v>
      </c>
      <c r="B12" s="348">
        <v>32099.715992780453</v>
      </c>
      <c r="C12" s="349">
        <v>43304.054769647584</v>
      </c>
      <c r="D12" s="349">
        <f t="shared" si="0"/>
        <v>11204.338776867131</v>
      </c>
      <c r="E12" s="365">
        <f t="shared" si="1"/>
        <v>0.34904790993749285</v>
      </c>
      <c r="F12" s="345"/>
      <c r="G12" s="352"/>
      <c r="H12" s="353"/>
      <c r="I12" s="353"/>
    </row>
    <row r="13" spans="1:9" ht="30" x14ac:dyDescent="0.25">
      <c r="A13" s="347" t="s">
        <v>208</v>
      </c>
      <c r="B13" s="348">
        <v>31839.526864508527</v>
      </c>
      <c r="C13" s="349">
        <v>42366.75031132179</v>
      </c>
      <c r="D13" s="349">
        <f t="shared" si="0"/>
        <v>10527.223446813263</v>
      </c>
      <c r="E13" s="365">
        <f t="shared" si="1"/>
        <v>0.33063379024478984</v>
      </c>
      <c r="F13" s="345"/>
      <c r="G13" s="352"/>
      <c r="H13" s="353"/>
      <c r="I13" s="353"/>
    </row>
    <row r="14" spans="1:9" ht="30" x14ac:dyDescent="0.25">
      <c r="A14" s="347" t="s">
        <v>209</v>
      </c>
      <c r="B14" s="348">
        <v>35072.611339919742</v>
      </c>
      <c r="C14" s="349">
        <v>46882.505708978671</v>
      </c>
      <c r="D14" s="349">
        <f t="shared" si="0"/>
        <v>11809.894369058929</v>
      </c>
      <c r="E14" s="365">
        <f t="shared" si="1"/>
        <v>0.3367269763462658</v>
      </c>
      <c r="F14" s="345"/>
      <c r="G14" s="352"/>
      <c r="H14" s="353"/>
      <c r="I14" s="353"/>
    </row>
    <row r="15" spans="1:9" ht="45" x14ac:dyDescent="0.25">
      <c r="A15" s="347" t="s">
        <v>210</v>
      </c>
      <c r="B15" s="348">
        <v>33911.156848777187</v>
      </c>
      <c r="C15" s="349">
        <v>49930.236740906978</v>
      </c>
      <c r="D15" s="349">
        <f t="shared" si="0"/>
        <v>16019.07989212979</v>
      </c>
      <c r="E15" s="365">
        <f t="shared" si="1"/>
        <v>0.47238376336038879</v>
      </c>
      <c r="F15" s="345"/>
      <c r="G15" s="352"/>
      <c r="H15" s="353"/>
      <c r="I15" s="353"/>
    </row>
    <row r="16" spans="1:9" ht="45" x14ac:dyDescent="0.25">
      <c r="A16" s="347" t="s">
        <v>211</v>
      </c>
      <c r="B16" s="348">
        <v>30913.948510332208</v>
      </c>
      <c r="C16" s="349">
        <v>44561.981839111424</v>
      </c>
      <c r="D16" s="349">
        <f t="shared" si="0"/>
        <v>13648.033328779216</v>
      </c>
      <c r="E16" s="365">
        <f t="shared" si="1"/>
        <v>0.44148463675604899</v>
      </c>
      <c r="F16" s="345"/>
      <c r="G16" s="352"/>
      <c r="H16" s="353"/>
      <c r="I16" s="353"/>
    </row>
    <row r="17" spans="1:9" ht="45" x14ac:dyDescent="0.25">
      <c r="A17" s="354" t="s">
        <v>212</v>
      </c>
      <c r="B17" s="355">
        <v>33244.816854529818</v>
      </c>
      <c r="C17" s="356">
        <v>45206.541511530973</v>
      </c>
      <c r="D17" s="356">
        <f t="shared" si="0"/>
        <v>11961.724657001156</v>
      </c>
      <c r="E17" s="366">
        <f t="shared" si="1"/>
        <v>0.35980720571698066</v>
      </c>
      <c r="F17" s="357"/>
      <c r="G17" s="358"/>
      <c r="H17" s="359"/>
      <c r="I17" s="359"/>
    </row>
    <row r="18" spans="1:9" x14ac:dyDescent="0.25">
      <c r="A18" s="360" t="s">
        <v>213</v>
      </c>
      <c r="B18" s="361">
        <v>33486.306311063032</v>
      </c>
      <c r="C18" s="362">
        <v>45923.997996231345</v>
      </c>
      <c r="D18" s="362">
        <f>AVERAGE(D2:D17)</f>
        <v>12437.69168516832</v>
      </c>
      <c r="E18" s="363">
        <v>0.37222062669395856</v>
      </c>
      <c r="F18" s="345"/>
      <c r="G18" s="352"/>
      <c r="H18" s="353"/>
      <c r="I18" s="353"/>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847F9-1E7B-459C-AEC6-3451702CCC01}">
  <dimension ref="A1:Z24"/>
  <sheetViews>
    <sheetView zoomScale="85" zoomScaleNormal="85" workbookViewId="0">
      <selection activeCell="S17" sqref="S17"/>
    </sheetView>
  </sheetViews>
  <sheetFormatPr baseColWidth="10" defaultRowHeight="15" x14ac:dyDescent="0.25"/>
  <cols>
    <col min="11" max="11" width="13.28515625" customWidth="1"/>
    <col min="17" max="17" width="16.42578125" customWidth="1"/>
    <col min="18" max="18" width="16.5703125" customWidth="1"/>
    <col min="19" max="20" width="16.42578125" customWidth="1"/>
    <col min="21" max="21" width="16.42578125" style="261" customWidth="1"/>
  </cols>
  <sheetData>
    <row r="1" spans="1:26" s="94" customFormat="1" ht="94.5" customHeight="1" x14ac:dyDescent="0.25">
      <c r="A1" s="29" t="s">
        <v>55</v>
      </c>
      <c r="B1" s="29" t="s">
        <v>14</v>
      </c>
      <c r="C1" s="29" t="s">
        <v>0</v>
      </c>
      <c r="D1" s="29" t="s">
        <v>59</v>
      </c>
      <c r="E1" s="29" t="s">
        <v>60</v>
      </c>
      <c r="F1" s="29" t="s">
        <v>61</v>
      </c>
      <c r="G1" s="41" t="s">
        <v>56</v>
      </c>
      <c r="H1" s="29" t="s">
        <v>5</v>
      </c>
      <c r="I1" s="29" t="s">
        <v>6</v>
      </c>
      <c r="J1" s="29" t="s">
        <v>34</v>
      </c>
      <c r="K1" s="29" t="s">
        <v>24</v>
      </c>
      <c r="L1" s="29" t="s">
        <v>7</v>
      </c>
      <c r="M1" s="29" t="s">
        <v>45</v>
      </c>
      <c r="N1" s="29" t="s">
        <v>8</v>
      </c>
      <c r="O1" s="29" t="s">
        <v>46</v>
      </c>
      <c r="P1" s="99" t="s">
        <v>38</v>
      </c>
      <c r="Q1" s="43" t="s">
        <v>37</v>
      </c>
      <c r="R1" s="42" t="s">
        <v>47</v>
      </c>
      <c r="S1" s="42" t="s">
        <v>48</v>
      </c>
      <c r="T1" s="42" t="s">
        <v>49</v>
      </c>
      <c r="U1" s="259" t="s">
        <v>39</v>
      </c>
      <c r="V1" s="104"/>
      <c r="W1" s="105"/>
      <c r="X1" s="105"/>
      <c r="Y1" s="105"/>
      <c r="Z1" s="105"/>
    </row>
    <row r="2" spans="1:26" s="17" customFormat="1" x14ac:dyDescent="0.25">
      <c r="A2" s="325" t="s">
        <v>17</v>
      </c>
      <c r="B2" s="14">
        <v>2017</v>
      </c>
      <c r="C2" s="15">
        <v>24000</v>
      </c>
      <c r="D2" s="19">
        <v>6.25E-2</v>
      </c>
      <c r="E2" s="96">
        <f>(D2*C2)</f>
        <v>1500</v>
      </c>
      <c r="F2" s="78">
        <v>75</v>
      </c>
      <c r="G2" s="97">
        <v>0</v>
      </c>
      <c r="H2" s="97">
        <v>0</v>
      </c>
      <c r="I2" s="97">
        <v>0</v>
      </c>
      <c r="J2" s="78">
        <v>1165.5</v>
      </c>
      <c r="K2" s="78">
        <v>75</v>
      </c>
      <c r="L2" s="70">
        <v>1371</v>
      </c>
      <c r="M2" s="70">
        <v>833</v>
      </c>
      <c r="N2" s="70">
        <v>360</v>
      </c>
      <c r="O2" s="70">
        <v>4781</v>
      </c>
      <c r="P2" s="101">
        <f>(C2-O2)</f>
        <v>19219</v>
      </c>
      <c r="Q2" s="121">
        <f>(C2+E2)</f>
        <v>25500</v>
      </c>
      <c r="R2" s="115">
        <f>(J2+K2+L2+M2+N2)+(J3+K3+L3+M3+N3)+(J4+K4+L4+M4+N4)+(J5+K5+L5+M5+N5)+(J6+K6+L6+M6+N6)</f>
        <v>21070.584999999999</v>
      </c>
      <c r="S2" s="34">
        <v>1.6299999999999999E-2</v>
      </c>
      <c r="T2" s="115">
        <f>(1+0.02)*(1+0.02)*(1+0.03)*(1+0.03)*(1+0.01)</f>
        <v>1.1147979636000001</v>
      </c>
      <c r="U2" s="265">
        <f>Q2+((R2/T2)-((C2-13734)/T2))</f>
        <v>35191.966932832307</v>
      </c>
      <c r="V2" s="106"/>
      <c r="W2" s="107"/>
      <c r="X2" s="107"/>
      <c r="Y2" s="107"/>
      <c r="Z2" s="107"/>
    </row>
    <row r="3" spans="1:26" x14ac:dyDescent="0.25">
      <c r="A3" s="326"/>
      <c r="B3" s="1">
        <v>2018</v>
      </c>
      <c r="C3" s="2"/>
      <c r="D3" s="3">
        <v>0</v>
      </c>
      <c r="E3" s="3">
        <f>(D3*C3)</f>
        <v>0</v>
      </c>
      <c r="F3" s="21">
        <v>75</v>
      </c>
      <c r="G3" s="12">
        <v>0</v>
      </c>
      <c r="H3" s="12">
        <v>0</v>
      </c>
      <c r="I3" s="98">
        <v>0</v>
      </c>
      <c r="J3" s="21">
        <v>1371.9599999999998</v>
      </c>
      <c r="K3" s="21">
        <v>75</v>
      </c>
      <c r="L3" s="71">
        <v>1412</v>
      </c>
      <c r="M3" s="71">
        <v>320</v>
      </c>
      <c r="N3" s="71">
        <v>419</v>
      </c>
      <c r="O3" s="71">
        <v>957</v>
      </c>
      <c r="P3" s="72">
        <f>(P2-O3)</f>
        <v>18262</v>
      </c>
      <c r="Q3" s="122"/>
      <c r="R3" s="116"/>
      <c r="S3" s="21">
        <v>2.46E-2</v>
      </c>
      <c r="T3" s="116"/>
      <c r="U3" s="322"/>
      <c r="V3" s="108"/>
      <c r="W3" s="109"/>
      <c r="X3" s="91"/>
      <c r="Y3" s="91"/>
      <c r="Z3" s="91"/>
    </row>
    <row r="4" spans="1:26" x14ac:dyDescent="0.25">
      <c r="A4" s="326"/>
      <c r="B4" s="1">
        <v>2019</v>
      </c>
      <c r="C4" s="2"/>
      <c r="D4" s="3">
        <v>0</v>
      </c>
      <c r="E4" s="3">
        <f>(D4*C4)</f>
        <v>0</v>
      </c>
      <c r="F4" s="21">
        <v>75</v>
      </c>
      <c r="G4" s="12">
        <v>0</v>
      </c>
      <c r="H4" s="12">
        <v>0</v>
      </c>
      <c r="I4" s="98">
        <v>0</v>
      </c>
      <c r="J4" s="21">
        <v>1343.6549999999997</v>
      </c>
      <c r="K4" s="21">
        <v>75</v>
      </c>
      <c r="L4" s="71">
        <v>1454</v>
      </c>
      <c r="M4" s="71">
        <v>1780</v>
      </c>
      <c r="N4" s="71">
        <v>487</v>
      </c>
      <c r="O4" s="71">
        <v>1663</v>
      </c>
      <c r="P4" s="72">
        <f>(P3-O4)</f>
        <v>16599</v>
      </c>
      <c r="Q4" s="122"/>
      <c r="R4" s="116"/>
      <c r="S4" s="21">
        <v>2.75E-2</v>
      </c>
      <c r="T4" s="116"/>
      <c r="U4" s="322"/>
      <c r="V4" s="108"/>
      <c r="W4" s="109"/>
      <c r="X4" s="91"/>
      <c r="Y4" s="91"/>
      <c r="Z4" s="91"/>
    </row>
    <row r="5" spans="1:26" x14ac:dyDescent="0.25">
      <c r="A5" s="326"/>
      <c r="B5" s="1">
        <v>2020</v>
      </c>
      <c r="C5" s="2"/>
      <c r="D5" s="3">
        <v>0</v>
      </c>
      <c r="E5" s="3">
        <f>(D5*C5)</f>
        <v>0</v>
      </c>
      <c r="F5" s="21">
        <v>75</v>
      </c>
      <c r="G5" s="12">
        <v>0</v>
      </c>
      <c r="H5" s="12">
        <v>0</v>
      </c>
      <c r="I5" s="98">
        <v>0</v>
      </c>
      <c r="J5" s="21">
        <v>1038.9599999999998</v>
      </c>
      <c r="K5" s="21">
        <v>75</v>
      </c>
      <c r="L5" s="71">
        <v>1498</v>
      </c>
      <c r="M5" s="71">
        <v>438</v>
      </c>
      <c r="N5" s="71">
        <v>567</v>
      </c>
      <c r="O5" s="71">
        <v>1617</v>
      </c>
      <c r="P5" s="72">
        <f t="shared" ref="P5:P6" si="0">(P4-O5)</f>
        <v>14982</v>
      </c>
      <c r="Q5" s="122"/>
      <c r="R5" s="116"/>
      <c r="S5" s="21">
        <v>2.8299999999999999E-2</v>
      </c>
      <c r="T5" s="116"/>
      <c r="U5" s="322"/>
      <c r="V5" s="108"/>
      <c r="W5" s="109"/>
      <c r="X5" s="91"/>
      <c r="Y5" s="91"/>
      <c r="Z5" s="91"/>
    </row>
    <row r="6" spans="1:26" s="54" customFormat="1" x14ac:dyDescent="0.25">
      <c r="A6" s="326"/>
      <c r="B6" s="61">
        <v>2021</v>
      </c>
      <c r="C6" s="62"/>
      <c r="D6" s="63">
        <v>0</v>
      </c>
      <c r="E6" s="63">
        <f>(D6*C6)</f>
        <v>0</v>
      </c>
      <c r="F6" s="50">
        <v>75</v>
      </c>
      <c r="G6" s="103">
        <v>0</v>
      </c>
      <c r="H6" s="103">
        <v>0</v>
      </c>
      <c r="I6" s="103">
        <v>0</v>
      </c>
      <c r="J6" s="50">
        <v>1488.5099999999998</v>
      </c>
      <c r="K6" s="50">
        <v>75</v>
      </c>
      <c r="L6" s="50">
        <v>1543</v>
      </c>
      <c r="M6" s="50">
        <v>1147</v>
      </c>
      <c r="N6" s="50">
        <v>658</v>
      </c>
      <c r="O6" s="50">
        <v>1248</v>
      </c>
      <c r="P6" s="102">
        <f t="shared" si="0"/>
        <v>13734</v>
      </c>
      <c r="Q6" s="319"/>
      <c r="R6" s="119"/>
      <c r="S6" s="50">
        <v>9.1999999999999998E-3</v>
      </c>
      <c r="T6" s="119"/>
      <c r="U6" s="323"/>
      <c r="V6" s="320"/>
      <c r="W6" s="321"/>
      <c r="X6" s="321"/>
      <c r="Y6" s="321"/>
      <c r="Z6" s="27"/>
    </row>
    <row r="7" spans="1:26" x14ac:dyDescent="0.25">
      <c r="A7" s="89"/>
      <c r="B7" s="89"/>
      <c r="C7" s="90"/>
      <c r="D7" s="93"/>
      <c r="E7" s="45"/>
      <c r="F7" s="28"/>
      <c r="G7" s="28"/>
      <c r="H7" s="28"/>
      <c r="I7" s="28"/>
      <c r="J7" s="28"/>
      <c r="K7" s="28"/>
      <c r="L7" s="25"/>
      <c r="M7" s="25"/>
      <c r="N7" s="25"/>
      <c r="O7" s="25"/>
      <c r="P7" s="28"/>
      <c r="Q7" s="125"/>
      <c r="R7" s="126"/>
      <c r="S7" s="127"/>
      <c r="T7" s="126"/>
      <c r="U7" s="322"/>
      <c r="V7" s="110"/>
      <c r="W7" s="111"/>
      <c r="X7" s="111"/>
      <c r="Y7" s="111"/>
      <c r="Z7" s="25"/>
    </row>
    <row r="8" spans="1:26" x14ac:dyDescent="0.25">
      <c r="A8" s="1"/>
      <c r="B8" s="1"/>
      <c r="C8" s="2"/>
      <c r="D8" s="3"/>
      <c r="E8" s="5"/>
      <c r="L8" s="25"/>
      <c r="M8" s="25"/>
      <c r="N8" s="25"/>
      <c r="O8" s="25"/>
      <c r="Q8" s="124"/>
      <c r="R8" s="116"/>
      <c r="S8" s="117"/>
      <c r="T8" s="116"/>
      <c r="U8" s="322"/>
      <c r="V8" s="108"/>
      <c r="W8" s="109"/>
      <c r="X8" s="109"/>
      <c r="Y8" s="109"/>
      <c r="Z8" s="91"/>
    </row>
    <row r="9" spans="1:26" s="28" customFormat="1" x14ac:dyDescent="0.25">
      <c r="A9" s="89"/>
      <c r="B9" s="89"/>
      <c r="C9" s="90"/>
      <c r="D9" s="93"/>
      <c r="E9" s="45"/>
      <c r="L9" s="25"/>
      <c r="M9" s="25"/>
      <c r="N9" s="25"/>
      <c r="O9" s="25"/>
      <c r="Q9" s="125"/>
      <c r="R9" s="126"/>
      <c r="S9" s="127"/>
      <c r="T9" s="126"/>
      <c r="U9" s="322"/>
      <c r="V9" s="110"/>
      <c r="W9" s="111"/>
      <c r="X9" s="111"/>
      <c r="Y9" s="111"/>
      <c r="Z9" s="25"/>
    </row>
    <row r="10" spans="1:26" s="95" customFormat="1" ht="94.5" customHeight="1" x14ac:dyDescent="0.25">
      <c r="A10" s="67" t="s">
        <v>55</v>
      </c>
      <c r="B10" s="69" t="s">
        <v>14</v>
      </c>
      <c r="C10" s="69" t="s">
        <v>0</v>
      </c>
      <c r="D10" s="69" t="s">
        <v>59</v>
      </c>
      <c r="E10" s="69" t="s">
        <v>60</v>
      </c>
      <c r="F10" s="69" t="s">
        <v>61</v>
      </c>
      <c r="G10" s="168" t="s">
        <v>56</v>
      </c>
      <c r="H10" s="69" t="s">
        <v>5</v>
      </c>
      <c r="I10" s="69" t="s">
        <v>6</v>
      </c>
      <c r="J10" s="69" t="s">
        <v>43</v>
      </c>
      <c r="K10" s="69" t="s">
        <v>24</v>
      </c>
      <c r="L10" s="69" t="s">
        <v>7</v>
      </c>
      <c r="M10" s="69" t="s">
        <v>45</v>
      </c>
      <c r="N10" s="69" t="s">
        <v>8</v>
      </c>
      <c r="O10" s="69" t="s">
        <v>46</v>
      </c>
      <c r="P10" s="100" t="s">
        <v>38</v>
      </c>
      <c r="Q10" s="43" t="s">
        <v>37</v>
      </c>
      <c r="R10" s="42" t="s">
        <v>47</v>
      </c>
      <c r="S10" s="42" t="s">
        <v>48</v>
      </c>
      <c r="T10" s="42" t="s">
        <v>49</v>
      </c>
      <c r="U10" s="259" t="s">
        <v>39</v>
      </c>
      <c r="V10" s="112"/>
      <c r="W10" s="113"/>
      <c r="X10" s="113"/>
      <c r="Y10" s="113"/>
      <c r="Z10" s="113"/>
    </row>
    <row r="11" spans="1:26" s="17" customFormat="1" x14ac:dyDescent="0.25">
      <c r="A11" s="326" t="s">
        <v>32</v>
      </c>
      <c r="B11" s="14">
        <v>2017</v>
      </c>
      <c r="C11" s="15">
        <v>45000</v>
      </c>
      <c r="D11" s="19">
        <v>6.25E-2</v>
      </c>
      <c r="E11" s="78">
        <f xml:space="preserve"> (D11*C11)</f>
        <v>2812.5</v>
      </c>
      <c r="F11" s="78">
        <v>75</v>
      </c>
      <c r="G11" s="97">
        <v>0</v>
      </c>
      <c r="H11" s="78">
        <v>8500</v>
      </c>
      <c r="I11" s="78">
        <v>2500</v>
      </c>
      <c r="J11" s="78">
        <v>445.90500000000003</v>
      </c>
      <c r="K11" s="78">
        <v>75</v>
      </c>
      <c r="L11" s="70">
        <v>1985</v>
      </c>
      <c r="M11" s="70">
        <v>217</v>
      </c>
      <c r="N11" s="70">
        <v>1310</v>
      </c>
      <c r="O11" s="70">
        <v>4707</v>
      </c>
      <c r="P11" s="101">
        <f>(C11-O11)</f>
        <v>40293</v>
      </c>
      <c r="Q11" s="121">
        <f>(C11+E11-H11-I11)</f>
        <v>36812.5</v>
      </c>
      <c r="R11" s="115">
        <f>(J11+K11+L11+M11+N11)+(J12+K12+L12+M12+N12)+(J13+K13+L13+M13+N13)+(J14+K14+L14+M14+N14)+(J15+K15+L15+M15+N15)</f>
        <v>23911.495000000003</v>
      </c>
      <c r="S11" s="34">
        <v>1.6299999999999999E-2</v>
      </c>
      <c r="T11" s="115">
        <f>(1+0.02)*(1+0.02)*(1+0.03)*(1+0.03)*(1+0.01)</f>
        <v>1.1147979636000001</v>
      </c>
      <c r="U11" s="265">
        <f>Q11+((R11/T2)-((C11-34265)/T2))</f>
        <v>48632.126004203805</v>
      </c>
      <c r="V11" s="88"/>
      <c r="W11" s="18"/>
      <c r="X11" s="18"/>
      <c r="Y11" s="18"/>
      <c r="Z11" s="18"/>
    </row>
    <row r="12" spans="1:26" x14ac:dyDescent="0.25">
      <c r="A12" s="326"/>
      <c r="B12" s="1">
        <v>2018</v>
      </c>
      <c r="C12" s="2"/>
      <c r="D12">
        <v>0</v>
      </c>
      <c r="E12">
        <f xml:space="preserve"> (D12*C12)</f>
        <v>0</v>
      </c>
      <c r="F12" s="21">
        <v>75</v>
      </c>
      <c r="G12" s="12">
        <v>0</v>
      </c>
      <c r="H12">
        <v>0</v>
      </c>
      <c r="I12">
        <v>0</v>
      </c>
      <c r="J12" s="21">
        <v>453.6</v>
      </c>
      <c r="K12" s="21">
        <v>75</v>
      </c>
      <c r="L12" s="71">
        <v>2045</v>
      </c>
      <c r="M12" s="71">
        <v>166</v>
      </c>
      <c r="N12" s="71">
        <v>1401</v>
      </c>
      <c r="O12" s="71">
        <v>1773</v>
      </c>
      <c r="P12" s="72">
        <f>(P11-O12)</f>
        <v>38520</v>
      </c>
      <c r="Q12" s="116"/>
      <c r="R12" s="116"/>
      <c r="S12" s="21">
        <v>2.46E-2</v>
      </c>
      <c r="T12" s="116"/>
      <c r="U12" s="322"/>
      <c r="V12" s="4"/>
      <c r="W12" s="5"/>
    </row>
    <row r="13" spans="1:26" x14ac:dyDescent="0.25">
      <c r="A13" s="326"/>
      <c r="B13" s="1">
        <v>2019</v>
      </c>
      <c r="C13" s="2"/>
      <c r="D13">
        <v>0</v>
      </c>
      <c r="E13">
        <f xml:space="preserve"> (D13*C13)</f>
        <v>0</v>
      </c>
      <c r="F13" s="21">
        <v>75</v>
      </c>
      <c r="G13" s="12">
        <v>0</v>
      </c>
      <c r="H13">
        <v>0</v>
      </c>
      <c r="I13">
        <v>0</v>
      </c>
      <c r="J13" s="21">
        <v>476.28000000000003</v>
      </c>
      <c r="K13" s="21">
        <v>75</v>
      </c>
      <c r="L13" s="71">
        <v>2106</v>
      </c>
      <c r="M13" s="71">
        <v>1674</v>
      </c>
      <c r="N13" s="71">
        <v>1500</v>
      </c>
      <c r="O13" s="71">
        <v>1563</v>
      </c>
      <c r="P13" s="72">
        <f t="shared" ref="P13:P15" si="1">(P12-O13)</f>
        <v>36957</v>
      </c>
      <c r="Q13" s="116"/>
      <c r="R13" s="116"/>
      <c r="S13" s="21">
        <v>2.75E-2</v>
      </c>
      <c r="T13" s="116"/>
      <c r="U13" s="322"/>
      <c r="V13" s="4"/>
      <c r="W13" s="5"/>
    </row>
    <row r="14" spans="1:26" x14ac:dyDescent="0.25">
      <c r="A14" s="326"/>
      <c r="B14" s="1">
        <v>2020</v>
      </c>
      <c r="C14" s="2"/>
      <c r="D14">
        <v>0</v>
      </c>
      <c r="E14">
        <f xml:space="preserve"> (D14*C14)</f>
        <v>0</v>
      </c>
      <c r="F14" s="21">
        <v>75</v>
      </c>
      <c r="G14" s="12">
        <v>0</v>
      </c>
      <c r="H14">
        <v>0</v>
      </c>
      <c r="I14">
        <v>0</v>
      </c>
      <c r="J14" s="21">
        <v>474.25500000000005</v>
      </c>
      <c r="K14" s="21">
        <v>75</v>
      </c>
      <c r="L14" s="71">
        <v>2169</v>
      </c>
      <c r="M14" s="71">
        <v>143</v>
      </c>
      <c r="N14" s="71">
        <v>1604</v>
      </c>
      <c r="O14" s="71">
        <v>1473</v>
      </c>
      <c r="P14" s="72">
        <f t="shared" si="1"/>
        <v>35484</v>
      </c>
      <c r="Q14" s="116"/>
      <c r="R14" s="116"/>
      <c r="S14" s="21">
        <v>2.8299999999999999E-2</v>
      </c>
      <c r="T14" s="116"/>
      <c r="U14" s="322"/>
      <c r="V14" s="4"/>
      <c r="W14" s="5"/>
    </row>
    <row r="15" spans="1:26" s="54" customFormat="1" x14ac:dyDescent="0.25">
      <c r="A15" s="327"/>
      <c r="B15" s="61">
        <v>2021</v>
      </c>
      <c r="C15" s="62"/>
      <c r="D15" s="54">
        <v>0</v>
      </c>
      <c r="E15" s="54">
        <f xml:space="preserve"> (D15*C15)</f>
        <v>0</v>
      </c>
      <c r="F15" s="50">
        <v>75</v>
      </c>
      <c r="G15" s="103">
        <v>0</v>
      </c>
      <c r="H15" s="54">
        <v>0</v>
      </c>
      <c r="I15" s="54">
        <v>0</v>
      </c>
      <c r="J15" s="50">
        <v>490.45500000000004</v>
      </c>
      <c r="K15" s="50">
        <v>75</v>
      </c>
      <c r="L15" s="50">
        <v>2234</v>
      </c>
      <c r="M15" s="50">
        <v>928</v>
      </c>
      <c r="N15" s="50">
        <v>1714</v>
      </c>
      <c r="O15" s="50">
        <v>1219</v>
      </c>
      <c r="P15" s="102">
        <f t="shared" si="1"/>
        <v>34265</v>
      </c>
      <c r="Q15" s="119"/>
      <c r="R15" s="119"/>
      <c r="S15" s="50">
        <v>9.1999999999999998E-3</v>
      </c>
      <c r="T15" s="119"/>
      <c r="U15" s="323"/>
      <c r="V15" s="65"/>
      <c r="W15" s="64"/>
      <c r="X15" s="64"/>
      <c r="Y15" s="64"/>
    </row>
    <row r="16" spans="1:26" x14ac:dyDescent="0.25">
      <c r="A16" s="1"/>
      <c r="B16" s="1"/>
      <c r="C16" s="2"/>
      <c r="L16" s="25"/>
      <c r="M16" s="25"/>
      <c r="N16" s="25"/>
      <c r="O16" s="25"/>
      <c r="S16" s="4"/>
      <c r="U16" s="72"/>
      <c r="V16" s="4"/>
      <c r="W16" s="5"/>
      <c r="X16" s="5"/>
      <c r="Y16" s="5"/>
    </row>
    <row r="17" spans="1:25" s="28" customFormat="1" x14ac:dyDescent="0.25">
      <c r="A17" s="58" t="s">
        <v>31</v>
      </c>
      <c r="B17" s="92" t="s">
        <v>54</v>
      </c>
      <c r="C17" s="90"/>
      <c r="L17" s="25"/>
      <c r="M17" s="25"/>
      <c r="N17" s="25"/>
      <c r="O17" s="25"/>
      <c r="S17" s="47"/>
      <c r="U17" s="72"/>
      <c r="V17" s="47"/>
      <c r="W17" s="45"/>
      <c r="X17" s="45"/>
      <c r="Y17" s="45"/>
    </row>
    <row r="18" spans="1:25" s="28" customFormat="1" x14ac:dyDescent="0.25">
      <c r="A18" s="58"/>
      <c r="B18" s="92" t="s">
        <v>58</v>
      </c>
      <c r="C18" s="90"/>
      <c r="L18" s="25"/>
      <c r="M18" s="25"/>
      <c r="N18" s="25"/>
      <c r="O18" s="25"/>
      <c r="S18" s="47"/>
      <c r="U18" s="72"/>
      <c r="V18" s="47"/>
      <c r="W18" s="45"/>
      <c r="X18" s="45"/>
      <c r="Y18" s="45"/>
    </row>
    <row r="19" spans="1:25" s="28" customFormat="1" x14ac:dyDescent="0.25">
      <c r="L19" s="25"/>
      <c r="M19" s="25"/>
      <c r="N19" s="25"/>
      <c r="O19" s="25"/>
      <c r="U19" s="261"/>
    </row>
    <row r="20" spans="1:25" x14ac:dyDescent="0.25">
      <c r="A20" s="58" t="s">
        <v>15</v>
      </c>
      <c r="B20" t="s">
        <v>50</v>
      </c>
      <c r="L20" s="91"/>
      <c r="M20" s="91"/>
      <c r="N20" s="91"/>
      <c r="O20" s="91"/>
    </row>
    <row r="21" spans="1:25" x14ac:dyDescent="0.25">
      <c r="B21" t="s">
        <v>51</v>
      </c>
      <c r="L21" s="91"/>
      <c r="M21" s="91"/>
      <c r="N21" s="91"/>
      <c r="O21" s="91"/>
    </row>
    <row r="22" spans="1:25" x14ac:dyDescent="0.25">
      <c r="B22" t="s">
        <v>53</v>
      </c>
    </row>
    <row r="23" spans="1:25" x14ac:dyDescent="0.25">
      <c r="B23" t="s">
        <v>52</v>
      </c>
    </row>
    <row r="24" spans="1:25" x14ac:dyDescent="0.25">
      <c r="B24" t="s">
        <v>57</v>
      </c>
    </row>
  </sheetData>
  <mergeCells count="2">
    <mergeCell ref="A2:A6"/>
    <mergeCell ref="A11:A1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83ED1-56AD-4BD7-A4BE-475BDD3E3063}">
  <dimension ref="A1:AB19"/>
  <sheetViews>
    <sheetView topLeftCell="B1" zoomScaleNormal="100" workbookViewId="0">
      <selection activeCell="U9" sqref="U9"/>
    </sheetView>
  </sheetViews>
  <sheetFormatPr baseColWidth="10" defaultRowHeight="15" x14ac:dyDescent="0.25"/>
  <cols>
    <col min="6" max="6" width="11.42578125" customWidth="1"/>
    <col min="8" max="8" width="12.7109375" customWidth="1"/>
    <col min="12" max="12" width="11.42578125" style="91"/>
    <col min="19" max="19" width="16" customWidth="1"/>
    <col min="20" max="20" width="14.85546875" customWidth="1"/>
    <col min="21" max="21" width="14.7109375" customWidth="1"/>
    <col min="22" max="22" width="16.85546875" customWidth="1"/>
    <col min="23" max="23" width="15.28515625" customWidth="1"/>
  </cols>
  <sheetData>
    <row r="1" spans="1:28" s="116" customFormat="1" ht="90" x14ac:dyDescent="0.25">
      <c r="A1" s="29" t="s">
        <v>55</v>
      </c>
      <c r="B1" s="29" t="s">
        <v>14</v>
      </c>
      <c r="C1" s="29" t="s">
        <v>0</v>
      </c>
      <c r="D1" s="29" t="s">
        <v>59</v>
      </c>
      <c r="E1" s="29" t="s">
        <v>60</v>
      </c>
      <c r="F1" s="29" t="s">
        <v>61</v>
      </c>
      <c r="G1" s="29" t="s">
        <v>62</v>
      </c>
      <c r="H1" s="29" t="s">
        <v>66</v>
      </c>
      <c r="I1" s="41" t="s">
        <v>56</v>
      </c>
      <c r="J1" s="29" t="s">
        <v>5</v>
      </c>
      <c r="K1" s="29" t="s">
        <v>6</v>
      </c>
      <c r="L1" s="170" t="s">
        <v>34</v>
      </c>
      <c r="M1" s="99" t="s">
        <v>24</v>
      </c>
      <c r="N1" s="29" t="s">
        <v>7</v>
      </c>
      <c r="O1" s="29" t="s">
        <v>45</v>
      </c>
      <c r="P1" s="29" t="s">
        <v>8</v>
      </c>
      <c r="Q1" s="29" t="s">
        <v>46</v>
      </c>
      <c r="R1" s="99" t="s">
        <v>38</v>
      </c>
      <c r="S1" s="43" t="s">
        <v>37</v>
      </c>
      <c r="T1" s="42" t="s">
        <v>47</v>
      </c>
      <c r="U1" s="42" t="s">
        <v>48</v>
      </c>
      <c r="V1" s="42" t="s">
        <v>49</v>
      </c>
      <c r="W1" s="23" t="s">
        <v>39</v>
      </c>
      <c r="X1" s="173"/>
      <c r="Y1" s="171"/>
      <c r="Z1" s="171"/>
      <c r="AA1" s="171"/>
      <c r="AB1" s="149"/>
    </row>
    <row r="2" spans="1:28" s="114" customFormat="1" x14ac:dyDescent="0.25">
      <c r="A2" s="325" t="s">
        <v>17</v>
      </c>
      <c r="B2" s="131">
        <v>2017</v>
      </c>
      <c r="C2" s="132">
        <v>24000</v>
      </c>
      <c r="D2" s="123">
        <v>0.06</v>
      </c>
      <c r="E2" s="96">
        <f>(D2*C2)</f>
        <v>1440</v>
      </c>
      <c r="F2" s="115">
        <v>135</v>
      </c>
      <c r="G2" s="115">
        <v>100</v>
      </c>
      <c r="H2" s="114">
        <v>14</v>
      </c>
      <c r="I2" s="133">
        <v>0</v>
      </c>
      <c r="J2" s="144">
        <v>0</v>
      </c>
      <c r="K2" s="133">
        <v>0</v>
      </c>
      <c r="L2" s="150">
        <v>1310.355</v>
      </c>
      <c r="M2" s="115">
        <f>3*135+(5*14)</f>
        <v>475</v>
      </c>
      <c r="N2" s="159">
        <v>862</v>
      </c>
      <c r="O2" s="160">
        <v>936</v>
      </c>
      <c r="P2" s="160">
        <v>421</v>
      </c>
      <c r="Q2" s="78">
        <v>4859</v>
      </c>
      <c r="R2" s="115">
        <f>C2-Q2</f>
        <v>19141</v>
      </c>
      <c r="S2" s="165">
        <f>C2+E2+G2</f>
        <v>25540</v>
      </c>
      <c r="T2" s="115">
        <f>(M2+L2+N2+O2+P2)+(L3+N3+O3+P3)+(L4+N4+O4+P4)+(L5+N5+O5+P5)+(L6+N6+O6+P6)</f>
        <v>20164.576250000002</v>
      </c>
      <c r="U2" s="34">
        <v>1.6299999999999999E-2</v>
      </c>
      <c r="V2" s="115">
        <f>(1+0.02)*(1+0.02)*(1+0.03)*(1+0.03)*(1+0.01)</f>
        <v>1.1147979636000001</v>
      </c>
      <c r="W2" s="180">
        <f>S2+((T2/V2)-((C2-13568)/V2))</f>
        <v>34270.349864087249</v>
      </c>
      <c r="X2" s="174"/>
      <c r="Y2" s="107"/>
      <c r="Z2" s="107"/>
      <c r="AA2" s="107"/>
      <c r="AB2" s="134"/>
    </row>
    <row r="3" spans="1:28" s="116" customFormat="1" x14ac:dyDescent="0.25">
      <c r="A3" s="326"/>
      <c r="B3" s="135">
        <v>2018</v>
      </c>
      <c r="C3" s="136"/>
      <c r="D3" s="3">
        <v>0</v>
      </c>
      <c r="E3" s="3">
        <f>(D3*C3)</f>
        <v>0</v>
      </c>
      <c r="F3" s="116">
        <v>0</v>
      </c>
      <c r="G3" s="116">
        <v>0</v>
      </c>
      <c r="H3" s="126">
        <v>14</v>
      </c>
      <c r="I3" s="137">
        <v>0</v>
      </c>
      <c r="J3" s="145">
        <v>0</v>
      </c>
      <c r="K3" s="137">
        <v>0</v>
      </c>
      <c r="L3" s="151">
        <v>1477.0862500000003</v>
      </c>
      <c r="M3" s="153">
        <v>0</v>
      </c>
      <c r="N3" s="161">
        <v>888</v>
      </c>
      <c r="O3" s="162">
        <v>380</v>
      </c>
      <c r="P3" s="162">
        <v>492</v>
      </c>
      <c r="Q3" s="21">
        <v>973</v>
      </c>
      <c r="R3" s="118">
        <f>R2-Q3</f>
        <v>18168</v>
      </c>
      <c r="S3" s="166"/>
      <c r="U3" s="21">
        <v>2.46E-2</v>
      </c>
      <c r="X3" s="175"/>
      <c r="Y3" s="149"/>
      <c r="Z3" s="149"/>
      <c r="AA3" s="149"/>
      <c r="AB3" s="149"/>
    </row>
    <row r="4" spans="1:28" s="116" customFormat="1" x14ac:dyDescent="0.25">
      <c r="A4" s="326"/>
      <c r="B4" s="135">
        <v>2019</v>
      </c>
      <c r="C4" s="136"/>
      <c r="D4" s="3">
        <v>0</v>
      </c>
      <c r="E4" s="3">
        <f>(D4*C4)</f>
        <v>0</v>
      </c>
      <c r="F4" s="118">
        <v>135</v>
      </c>
      <c r="G4" s="116">
        <v>0</v>
      </c>
      <c r="H4" s="126">
        <v>14</v>
      </c>
      <c r="I4" s="137">
        <v>0</v>
      </c>
      <c r="J4" s="145">
        <v>0</v>
      </c>
      <c r="K4" s="137">
        <v>0</v>
      </c>
      <c r="L4" s="151">
        <v>1386.2512500000003</v>
      </c>
      <c r="M4" s="153">
        <v>0</v>
      </c>
      <c r="N4" s="161">
        <v>914</v>
      </c>
      <c r="O4" s="162">
        <v>1961</v>
      </c>
      <c r="P4" s="162">
        <v>575</v>
      </c>
      <c r="Q4" s="21">
        <v>1689</v>
      </c>
      <c r="R4" s="118">
        <f t="shared" ref="R4:R6" si="0">R3-Q4</f>
        <v>16479</v>
      </c>
      <c r="S4" s="166"/>
      <c r="U4" s="21">
        <v>2.75E-2</v>
      </c>
      <c r="X4" s="175"/>
      <c r="Y4" s="149"/>
      <c r="Z4" s="149"/>
      <c r="AA4" s="149"/>
      <c r="AB4" s="149"/>
    </row>
    <row r="5" spans="1:28" s="116" customFormat="1" x14ac:dyDescent="0.25">
      <c r="A5" s="326"/>
      <c r="B5" s="135">
        <v>2020</v>
      </c>
      <c r="C5" s="136"/>
      <c r="D5" s="3">
        <v>0</v>
      </c>
      <c r="E5" s="3">
        <f>(D5*C5)</f>
        <v>0</v>
      </c>
      <c r="F5" s="116">
        <v>0</v>
      </c>
      <c r="G5" s="116">
        <v>0</v>
      </c>
      <c r="H5" s="126">
        <v>14</v>
      </c>
      <c r="I5" s="137">
        <v>0</v>
      </c>
      <c r="J5" s="145">
        <v>0</v>
      </c>
      <c r="K5" s="137">
        <v>0</v>
      </c>
      <c r="L5" s="151">
        <v>1225.85625</v>
      </c>
      <c r="M5" s="153">
        <v>0</v>
      </c>
      <c r="N5" s="161">
        <v>942</v>
      </c>
      <c r="O5" s="162">
        <v>511</v>
      </c>
      <c r="P5" s="162">
        <v>672</v>
      </c>
      <c r="Q5" s="21">
        <v>1643</v>
      </c>
      <c r="R5" s="118">
        <f t="shared" si="0"/>
        <v>14836</v>
      </c>
      <c r="S5" s="166"/>
      <c r="U5" s="21">
        <v>2.8299999999999999E-2</v>
      </c>
      <c r="X5" s="175"/>
      <c r="Y5" s="149"/>
      <c r="Z5" s="149"/>
      <c r="AA5" s="149"/>
      <c r="AB5" s="149"/>
    </row>
    <row r="6" spans="1:28" s="116" customFormat="1" x14ac:dyDescent="0.25">
      <c r="A6" s="326"/>
      <c r="B6" s="135">
        <v>2021</v>
      </c>
      <c r="C6" s="136"/>
      <c r="D6" s="3">
        <v>0</v>
      </c>
      <c r="E6" s="3">
        <f>(D6*C6)</f>
        <v>0</v>
      </c>
      <c r="F6" s="118">
        <v>135</v>
      </c>
      <c r="G6" s="116">
        <v>0</v>
      </c>
      <c r="H6" s="126">
        <v>14</v>
      </c>
      <c r="I6" s="137">
        <v>0</v>
      </c>
      <c r="J6" s="145">
        <v>0</v>
      </c>
      <c r="K6" s="137">
        <v>0</v>
      </c>
      <c r="L6" s="151">
        <v>1656.0274999999999</v>
      </c>
      <c r="M6" s="154">
        <v>0</v>
      </c>
      <c r="N6" s="163">
        <v>970</v>
      </c>
      <c r="O6" s="120">
        <v>1327</v>
      </c>
      <c r="P6" s="120">
        <v>783</v>
      </c>
      <c r="Q6" s="21">
        <v>1268</v>
      </c>
      <c r="R6" s="118">
        <f t="shared" si="0"/>
        <v>13568</v>
      </c>
      <c r="S6" s="167"/>
      <c r="U6" s="21">
        <v>9.1999999999999998E-3</v>
      </c>
      <c r="X6" s="175"/>
      <c r="Y6" s="109"/>
      <c r="Z6" s="109"/>
      <c r="AA6" s="149"/>
      <c r="AB6" s="149"/>
    </row>
    <row r="7" spans="1:28" s="140" customFormat="1" x14ac:dyDescent="0.25">
      <c r="A7" s="138"/>
      <c r="B7" s="138"/>
      <c r="C7" s="139"/>
      <c r="D7" s="129"/>
      <c r="E7" s="130"/>
      <c r="J7" s="141"/>
      <c r="L7" s="148"/>
      <c r="N7" s="155"/>
      <c r="O7" s="142"/>
      <c r="P7" s="142"/>
      <c r="Q7" s="142"/>
      <c r="S7" s="164"/>
      <c r="U7" s="143"/>
      <c r="X7" s="176"/>
      <c r="Y7" s="172"/>
      <c r="Z7" s="172"/>
      <c r="AA7" s="142"/>
      <c r="AB7" s="142"/>
    </row>
    <row r="8" spans="1:28" s="114" customFormat="1" ht="120" x14ac:dyDescent="0.25">
      <c r="A8" s="69" t="s">
        <v>55</v>
      </c>
      <c r="B8" s="69" t="s">
        <v>14</v>
      </c>
      <c r="C8" s="69" t="s">
        <v>0</v>
      </c>
      <c r="D8" s="69" t="s">
        <v>59</v>
      </c>
      <c r="E8" s="69" t="s">
        <v>60</v>
      </c>
      <c r="F8" s="69" t="s">
        <v>61</v>
      </c>
      <c r="G8" s="69" t="s">
        <v>62</v>
      </c>
      <c r="H8" s="29" t="s">
        <v>67</v>
      </c>
      <c r="I8" s="168" t="s">
        <v>56</v>
      </c>
      <c r="J8" s="69" t="s">
        <v>5</v>
      </c>
      <c r="K8" s="69" t="s">
        <v>6</v>
      </c>
      <c r="L8" s="169" t="s">
        <v>43</v>
      </c>
      <c r="M8" s="100" t="s">
        <v>24</v>
      </c>
      <c r="N8" s="69" t="s">
        <v>7</v>
      </c>
      <c r="O8" s="69" t="s">
        <v>45</v>
      </c>
      <c r="P8" s="69" t="s">
        <v>8</v>
      </c>
      <c r="Q8" s="69" t="s">
        <v>46</v>
      </c>
      <c r="R8" s="100" t="s">
        <v>38</v>
      </c>
      <c r="S8" s="43" t="s">
        <v>37</v>
      </c>
      <c r="T8" s="42" t="s">
        <v>47</v>
      </c>
      <c r="U8" s="42" t="s">
        <v>48</v>
      </c>
      <c r="V8" s="42" t="s">
        <v>49</v>
      </c>
      <c r="W8" s="23" t="s">
        <v>39</v>
      </c>
      <c r="X8" s="156"/>
      <c r="Y8" s="134"/>
      <c r="Z8" s="134"/>
      <c r="AA8" s="134"/>
      <c r="AB8" s="134"/>
    </row>
    <row r="9" spans="1:28" s="114" customFormat="1" x14ac:dyDescent="0.25">
      <c r="A9" s="325" t="s">
        <v>32</v>
      </c>
      <c r="B9" s="131">
        <v>2017</v>
      </c>
      <c r="C9" s="132">
        <v>45000</v>
      </c>
      <c r="D9" s="123">
        <v>0.06</v>
      </c>
      <c r="E9" s="115">
        <f xml:space="preserve"> (D9*C9)</f>
        <v>2700</v>
      </c>
      <c r="F9" s="115">
        <v>135</v>
      </c>
      <c r="G9" s="115">
        <v>100</v>
      </c>
      <c r="H9" s="133">
        <v>0</v>
      </c>
      <c r="I9" s="133">
        <v>0</v>
      </c>
      <c r="J9" s="158">
        <v>8500</v>
      </c>
      <c r="K9" s="115">
        <v>5000</v>
      </c>
      <c r="L9" s="150">
        <v>567.67500000000143</v>
      </c>
      <c r="M9" s="157">
        <f>3*135</f>
        <v>405</v>
      </c>
      <c r="N9" s="77">
        <v>1326</v>
      </c>
      <c r="O9" s="78">
        <v>247</v>
      </c>
      <c r="P9" s="78">
        <v>1537</v>
      </c>
      <c r="Q9" s="78">
        <v>4651</v>
      </c>
      <c r="R9" s="115">
        <f>C9-Q9</f>
        <v>40349</v>
      </c>
      <c r="S9" s="165">
        <f>C9+E9+G9-J9-K9</f>
        <v>34300</v>
      </c>
      <c r="T9" s="115">
        <f>(M9+L9+N9+O9+P9)+(L10+N10+O10+P10)+(L11+N11+O11+P11)+(L12+N12+O12+P12)+(L13+N13+O13+P13)</f>
        <v>22418.112500000003</v>
      </c>
      <c r="U9" s="34">
        <v>1.6299999999999999E-2</v>
      </c>
      <c r="V9" s="115">
        <f>(1+0.02)*(1+0.02)*(1+0.03)*(1+0.03)*(1+0.01)</f>
        <v>1.1147979636000001</v>
      </c>
      <c r="W9" s="180">
        <f>S9+((T9/V2)-((C9-34393)/V2))</f>
        <v>44894.845779820549</v>
      </c>
      <c r="X9" s="177"/>
      <c r="Y9" s="18"/>
      <c r="Z9" s="18"/>
      <c r="AA9" s="18"/>
    </row>
    <row r="10" spans="1:28" s="116" customFormat="1" x14ac:dyDescent="0.25">
      <c r="A10" s="326"/>
      <c r="B10" s="135">
        <v>2018</v>
      </c>
      <c r="C10" s="136"/>
      <c r="D10" s="116">
        <v>0</v>
      </c>
      <c r="E10" s="116">
        <f xml:space="preserve"> (D10*C10)</f>
        <v>0</v>
      </c>
      <c r="F10" s="118">
        <v>0</v>
      </c>
      <c r="G10" s="116">
        <v>0</v>
      </c>
      <c r="H10" s="137">
        <v>0</v>
      </c>
      <c r="I10" s="137">
        <v>0</v>
      </c>
      <c r="J10" s="57">
        <v>0</v>
      </c>
      <c r="K10" s="57">
        <v>0</v>
      </c>
      <c r="L10" s="152">
        <v>518.4000000000002</v>
      </c>
      <c r="M10" s="146">
        <v>0</v>
      </c>
      <c r="N10" s="21">
        <v>1366</v>
      </c>
      <c r="O10" s="21">
        <v>195</v>
      </c>
      <c r="P10" s="21">
        <v>1654</v>
      </c>
      <c r="Q10" s="21">
        <v>1752</v>
      </c>
      <c r="R10" s="118">
        <f>R9-Q10</f>
        <v>38597</v>
      </c>
      <c r="S10" s="166"/>
      <c r="U10" s="21">
        <v>2.46E-2</v>
      </c>
      <c r="X10" s="178"/>
    </row>
    <row r="11" spans="1:28" s="116" customFormat="1" x14ac:dyDescent="0.25">
      <c r="A11" s="326"/>
      <c r="B11" s="135">
        <v>2019</v>
      </c>
      <c r="C11" s="136"/>
      <c r="D11" s="116">
        <v>0</v>
      </c>
      <c r="E11" s="116">
        <f xml:space="preserve"> (D11*C11)</f>
        <v>0</v>
      </c>
      <c r="F11" s="118">
        <v>135</v>
      </c>
      <c r="G11" s="116">
        <v>0</v>
      </c>
      <c r="H11" s="137">
        <v>0</v>
      </c>
      <c r="I11" s="137">
        <v>0</v>
      </c>
      <c r="J11" s="57">
        <v>0</v>
      </c>
      <c r="K11" s="57">
        <v>0</v>
      </c>
      <c r="L11" s="151">
        <v>500.51249999999999</v>
      </c>
      <c r="M11" s="146">
        <v>0</v>
      </c>
      <c r="N11" s="21">
        <v>1407</v>
      </c>
      <c r="O11" s="21">
        <v>1770</v>
      </c>
      <c r="P11" s="21">
        <v>1779</v>
      </c>
      <c r="Q11" s="21">
        <v>1544</v>
      </c>
      <c r="R11" s="118">
        <f t="shared" ref="R11:R13" si="1">R10-Q11</f>
        <v>37053</v>
      </c>
      <c r="S11" s="166"/>
      <c r="U11" s="21">
        <v>2.75E-2</v>
      </c>
      <c r="X11" s="178"/>
    </row>
    <row r="12" spans="1:28" s="116" customFormat="1" x14ac:dyDescent="0.25">
      <c r="A12" s="326"/>
      <c r="B12" s="135">
        <v>2020</v>
      </c>
      <c r="C12" s="136"/>
      <c r="D12" s="116">
        <v>0</v>
      </c>
      <c r="E12" s="116">
        <f xml:space="preserve"> (D12*C12)</f>
        <v>0</v>
      </c>
      <c r="F12" s="118">
        <v>0</v>
      </c>
      <c r="G12" s="116">
        <v>0</v>
      </c>
      <c r="H12" s="137">
        <v>0</v>
      </c>
      <c r="I12" s="137">
        <v>0</v>
      </c>
      <c r="J12" s="57">
        <v>0</v>
      </c>
      <c r="K12" s="57">
        <v>0</v>
      </c>
      <c r="L12" s="152">
        <v>517.38750000000005</v>
      </c>
      <c r="M12" s="146">
        <v>0</v>
      </c>
      <c r="N12" s="21">
        <v>1449</v>
      </c>
      <c r="O12" s="21">
        <v>167</v>
      </c>
      <c r="P12" s="21">
        <v>1912</v>
      </c>
      <c r="Q12" s="21">
        <v>1456</v>
      </c>
      <c r="R12" s="118">
        <f t="shared" si="1"/>
        <v>35597</v>
      </c>
      <c r="S12" s="166"/>
      <c r="U12" s="21">
        <v>2.8299999999999999E-2</v>
      </c>
      <c r="X12" s="178"/>
    </row>
    <row r="13" spans="1:28" s="116" customFormat="1" x14ac:dyDescent="0.25">
      <c r="A13" s="327"/>
      <c r="B13" s="135">
        <v>2021</v>
      </c>
      <c r="C13" s="136"/>
      <c r="D13" s="116">
        <v>0</v>
      </c>
      <c r="E13" s="116">
        <f xml:space="preserve"> (D13*C13)</f>
        <v>0</v>
      </c>
      <c r="F13" s="118">
        <v>135</v>
      </c>
      <c r="G13" s="116">
        <v>0</v>
      </c>
      <c r="H13" s="137">
        <v>0</v>
      </c>
      <c r="I13" s="137">
        <v>0</v>
      </c>
      <c r="J13" s="57">
        <v>0</v>
      </c>
      <c r="K13" s="57">
        <v>0</v>
      </c>
      <c r="L13" s="151">
        <v>524.13750000000005</v>
      </c>
      <c r="M13" s="147">
        <v>0</v>
      </c>
      <c r="N13" s="21">
        <v>1492</v>
      </c>
      <c r="O13" s="21">
        <v>1032</v>
      </c>
      <c r="P13" s="21">
        <v>2052</v>
      </c>
      <c r="Q13" s="21">
        <v>1204</v>
      </c>
      <c r="R13" s="118">
        <f t="shared" si="1"/>
        <v>34393</v>
      </c>
      <c r="S13" s="167"/>
      <c r="U13" s="21">
        <v>9.1999999999999998E-3</v>
      </c>
      <c r="X13" s="179"/>
      <c r="Y13" s="5"/>
      <c r="Z13" s="5"/>
    </row>
    <row r="14" spans="1:28" s="24" customFormat="1" x14ac:dyDescent="0.25"/>
    <row r="15" spans="1:28" x14ac:dyDescent="0.25">
      <c r="A15" s="58" t="s">
        <v>31</v>
      </c>
      <c r="B15" t="s">
        <v>63</v>
      </c>
    </row>
    <row r="16" spans="1:28" x14ac:dyDescent="0.25">
      <c r="A16" s="58"/>
    </row>
    <row r="17" spans="1:2" x14ac:dyDescent="0.25">
      <c r="A17" s="28"/>
    </row>
    <row r="18" spans="1:2" x14ac:dyDescent="0.25">
      <c r="A18" s="58" t="s">
        <v>15</v>
      </c>
      <c r="B18" t="s">
        <v>64</v>
      </c>
    </row>
    <row r="19" spans="1:2" x14ac:dyDescent="0.25">
      <c r="B19" t="s">
        <v>65</v>
      </c>
    </row>
  </sheetData>
  <mergeCells count="2">
    <mergeCell ref="A2:A6"/>
    <mergeCell ref="A9:A1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14FC0-3B32-4017-A26D-DD0301E4028A}">
  <dimension ref="A1:Z22"/>
  <sheetViews>
    <sheetView tabSelected="1" zoomScale="120" zoomScaleNormal="120" workbookViewId="0">
      <selection activeCell="V11" sqref="V11"/>
    </sheetView>
  </sheetViews>
  <sheetFormatPr baseColWidth="10" defaultRowHeight="15" x14ac:dyDescent="0.25"/>
  <cols>
    <col min="6" max="6" width="11.85546875" customWidth="1"/>
    <col min="12" max="12" width="12.28515625" customWidth="1"/>
    <col min="18" max="18" width="17" customWidth="1"/>
    <col min="19" max="19" width="17.28515625" customWidth="1"/>
    <col min="20" max="20" width="16.5703125" customWidth="1"/>
    <col min="21" max="21" width="13.28515625" customWidth="1"/>
    <col min="22" max="22" width="16.5703125" customWidth="1"/>
    <col min="23" max="23" width="11.42578125" style="26"/>
  </cols>
  <sheetData>
    <row r="1" spans="1:26" s="103" customFormat="1" ht="92.25" customHeight="1" x14ac:dyDescent="0.25">
      <c r="A1" s="186" t="s">
        <v>55</v>
      </c>
      <c r="B1" s="187" t="s">
        <v>14</v>
      </c>
      <c r="C1" s="187" t="s">
        <v>0</v>
      </c>
      <c r="D1" s="187" t="s">
        <v>68</v>
      </c>
      <c r="E1" s="187" t="s">
        <v>69</v>
      </c>
      <c r="F1" s="187" t="s">
        <v>61</v>
      </c>
      <c r="G1" s="187" t="s">
        <v>70</v>
      </c>
      <c r="H1" s="188" t="s">
        <v>56</v>
      </c>
      <c r="I1" s="187" t="s">
        <v>5</v>
      </c>
      <c r="J1" s="187" t="s">
        <v>6</v>
      </c>
      <c r="K1" s="189" t="s">
        <v>34</v>
      </c>
      <c r="L1" s="187" t="s">
        <v>24</v>
      </c>
      <c r="M1" s="190" t="s">
        <v>7</v>
      </c>
      <c r="N1" s="187" t="s">
        <v>45</v>
      </c>
      <c r="O1" s="187" t="s">
        <v>8</v>
      </c>
      <c r="P1" s="187" t="s">
        <v>46</v>
      </c>
      <c r="Q1" s="186" t="s">
        <v>38</v>
      </c>
      <c r="R1" s="199" t="s">
        <v>37</v>
      </c>
      <c r="S1" s="192" t="s">
        <v>47</v>
      </c>
      <c r="T1" s="192" t="s">
        <v>48</v>
      </c>
      <c r="U1" s="192" t="s">
        <v>49</v>
      </c>
      <c r="V1" s="191" t="s">
        <v>39</v>
      </c>
      <c r="W1" s="183"/>
      <c r="X1" s="182"/>
      <c r="Y1" s="182"/>
      <c r="Z1" s="182"/>
    </row>
    <row r="2" spans="1:26" x14ac:dyDescent="0.25">
      <c r="A2" s="328" t="s">
        <v>17</v>
      </c>
      <c r="B2" s="131">
        <v>2017</v>
      </c>
      <c r="C2" s="196">
        <v>24000</v>
      </c>
      <c r="D2" s="4">
        <v>6.25E-2</v>
      </c>
      <c r="E2" s="22">
        <f>(D2*C2)</f>
        <v>1500</v>
      </c>
      <c r="F2" s="21">
        <v>60</v>
      </c>
      <c r="G2" s="21">
        <v>75</v>
      </c>
      <c r="H2" s="12">
        <v>0</v>
      </c>
      <c r="I2" s="12">
        <v>0</v>
      </c>
      <c r="J2">
        <v>0</v>
      </c>
      <c r="K2">
        <v>1390.83</v>
      </c>
      <c r="L2" s="195">
        <f>E2+(3*60)+75</f>
        <v>1755</v>
      </c>
      <c r="M2" s="200">
        <v>1085</v>
      </c>
      <c r="N2" s="71">
        <v>722</v>
      </c>
      <c r="O2" s="71">
        <v>297</v>
      </c>
      <c r="P2" s="71">
        <v>4765</v>
      </c>
      <c r="Q2" s="72">
        <f>C2-P2</f>
        <v>19235</v>
      </c>
      <c r="R2" s="198">
        <f>C2+E2+G2</f>
        <v>25575</v>
      </c>
      <c r="S2" s="21">
        <f>(M2+L2+N2+O2+K2)+(M3+N3+O3+K3)+(M4+N4+O4+K4)+(M5+N5+O5+K5)+(M6+N6+O6+K6)</f>
        <v>20904.845000000001</v>
      </c>
      <c r="T2" s="34">
        <v>1.6299999999999999E-2</v>
      </c>
      <c r="U2" s="115">
        <f>(1+0.02)*(1+0.02)*(1+0.03)*(1+0.03)*(1+0.01)</f>
        <v>1.1147979636000001</v>
      </c>
      <c r="V2" s="209">
        <f>R2+((S2/U2)-((C2-13769)/U2))</f>
        <v>35149.690077053165</v>
      </c>
      <c r="W2" s="178"/>
      <c r="X2" s="5"/>
      <c r="Y2" s="5"/>
      <c r="Z2" s="5"/>
    </row>
    <row r="3" spans="1:26" x14ac:dyDescent="0.25">
      <c r="A3" s="329"/>
      <c r="B3" s="135">
        <v>2018</v>
      </c>
      <c r="C3" s="2"/>
      <c r="D3" s="3">
        <v>0</v>
      </c>
      <c r="E3" s="3">
        <f>(D3*C3)</f>
        <v>0</v>
      </c>
      <c r="F3" s="21">
        <v>0</v>
      </c>
      <c r="G3">
        <v>0</v>
      </c>
      <c r="H3" s="12">
        <v>0</v>
      </c>
      <c r="I3" s="12">
        <v>0</v>
      </c>
      <c r="K3">
        <v>1567.32</v>
      </c>
      <c r="M3" s="201">
        <v>1118</v>
      </c>
      <c r="N3" s="71">
        <v>260</v>
      </c>
      <c r="O3" s="71">
        <v>347</v>
      </c>
      <c r="P3" s="71">
        <v>954</v>
      </c>
      <c r="Q3" s="72">
        <f>Q2-P3</f>
        <v>18281</v>
      </c>
      <c r="R3" s="197"/>
      <c r="T3" s="21">
        <v>2.46E-2</v>
      </c>
      <c r="W3" s="178"/>
    </row>
    <row r="4" spans="1:26" x14ac:dyDescent="0.25">
      <c r="A4" s="329"/>
      <c r="B4" s="135">
        <v>2019</v>
      </c>
      <c r="C4" s="2"/>
      <c r="D4" s="3">
        <v>0</v>
      </c>
      <c r="E4" s="3">
        <f>(D4*C4)</f>
        <v>0</v>
      </c>
      <c r="F4" s="21">
        <v>60</v>
      </c>
      <c r="G4">
        <v>0</v>
      </c>
      <c r="H4" s="12">
        <v>0</v>
      </c>
      <c r="I4" s="12">
        <v>0</v>
      </c>
      <c r="K4">
        <v>1489.62</v>
      </c>
      <c r="M4" s="201">
        <v>1151</v>
      </c>
      <c r="N4" s="71">
        <v>1605</v>
      </c>
      <c r="O4" s="71">
        <v>404</v>
      </c>
      <c r="P4" s="71">
        <v>1657</v>
      </c>
      <c r="Q4" s="72">
        <f t="shared" ref="Q4:Q6" si="0">Q3-P4</f>
        <v>16624</v>
      </c>
      <c r="R4" s="197"/>
      <c r="T4" s="21">
        <v>2.75E-2</v>
      </c>
      <c r="W4" s="178"/>
    </row>
    <row r="5" spans="1:26" x14ac:dyDescent="0.25">
      <c r="A5" s="329"/>
      <c r="B5" s="135">
        <v>2020</v>
      </c>
      <c r="C5" s="2"/>
      <c r="D5" s="3">
        <v>0</v>
      </c>
      <c r="E5" s="3">
        <f>(D5*C5)</f>
        <v>0</v>
      </c>
      <c r="F5" s="21">
        <v>0</v>
      </c>
      <c r="G5">
        <v>0</v>
      </c>
      <c r="H5" s="12">
        <v>0</v>
      </c>
      <c r="I5" s="12">
        <v>0</v>
      </c>
      <c r="K5" s="21">
        <v>1245.9749999999999</v>
      </c>
      <c r="M5" s="201">
        <v>1186</v>
      </c>
      <c r="N5" s="71">
        <v>371</v>
      </c>
      <c r="O5" s="71">
        <v>472</v>
      </c>
      <c r="P5" s="71">
        <v>1612</v>
      </c>
      <c r="Q5" s="72">
        <f t="shared" si="0"/>
        <v>15012</v>
      </c>
      <c r="R5" s="197"/>
      <c r="T5" s="21">
        <v>2.8299999999999999E-2</v>
      </c>
      <c r="W5" s="178"/>
    </row>
    <row r="6" spans="1:26" x14ac:dyDescent="0.25">
      <c r="A6" s="330"/>
      <c r="B6" s="135">
        <v>2021</v>
      </c>
      <c r="C6" s="2"/>
      <c r="D6" s="3">
        <v>0</v>
      </c>
      <c r="E6" s="3">
        <f>(D6*C6)</f>
        <v>0</v>
      </c>
      <c r="F6" s="21">
        <v>60</v>
      </c>
      <c r="G6">
        <v>0</v>
      </c>
      <c r="H6" s="12">
        <v>0</v>
      </c>
      <c r="I6" s="12">
        <v>0</v>
      </c>
      <c r="K6" s="21">
        <v>1676.1</v>
      </c>
      <c r="M6" s="202">
        <v>1221</v>
      </c>
      <c r="N6" s="21">
        <v>992</v>
      </c>
      <c r="O6" s="21">
        <v>549</v>
      </c>
      <c r="P6" s="21">
        <v>1243</v>
      </c>
      <c r="Q6" s="72">
        <f t="shared" si="0"/>
        <v>13769</v>
      </c>
      <c r="R6" s="197"/>
      <c r="T6" s="21">
        <v>9.1999999999999998E-3</v>
      </c>
      <c r="W6" s="178"/>
      <c r="X6" s="5"/>
      <c r="Y6" s="5"/>
    </row>
    <row r="7" spans="1:26" s="17" customFormat="1" x14ac:dyDescent="0.25">
      <c r="A7" s="14"/>
      <c r="B7" s="14"/>
      <c r="C7" s="15"/>
      <c r="D7" s="16"/>
      <c r="E7" s="18"/>
      <c r="M7" s="24"/>
      <c r="N7" s="24"/>
      <c r="O7" s="24"/>
      <c r="P7" s="24"/>
      <c r="R7" s="87"/>
      <c r="T7" s="19"/>
      <c r="W7" s="177"/>
      <c r="X7" s="18"/>
      <c r="Y7" s="18"/>
    </row>
    <row r="8" spans="1:26" x14ac:dyDescent="0.25">
      <c r="A8" s="1"/>
      <c r="B8" s="1"/>
      <c r="C8" s="2"/>
      <c r="D8" s="3"/>
      <c r="E8" s="5"/>
      <c r="M8" s="25"/>
      <c r="N8" s="25"/>
      <c r="O8" s="25"/>
      <c r="P8" s="25"/>
      <c r="R8" s="6"/>
      <c r="T8" s="4"/>
      <c r="W8" s="178"/>
      <c r="X8" s="5"/>
      <c r="Y8" s="5"/>
    </row>
    <row r="9" spans="1:26" s="54" customFormat="1" x14ac:dyDescent="0.25">
      <c r="A9" s="61"/>
      <c r="B9" s="61"/>
      <c r="C9" s="62"/>
      <c r="D9" s="63"/>
      <c r="E9" s="64"/>
      <c r="M9" s="27"/>
      <c r="N9" s="27"/>
      <c r="O9" s="27"/>
      <c r="P9" s="27"/>
      <c r="R9" s="181"/>
      <c r="T9" s="65"/>
      <c r="W9" s="179"/>
      <c r="X9" s="64"/>
      <c r="Y9" s="64"/>
    </row>
    <row r="10" spans="1:26" s="103" customFormat="1" ht="90" x14ac:dyDescent="0.25">
      <c r="A10" s="68" t="s">
        <v>55</v>
      </c>
      <c r="B10" s="67" t="s">
        <v>14</v>
      </c>
      <c r="C10" s="67" t="s">
        <v>0</v>
      </c>
      <c r="D10" s="187" t="s">
        <v>68</v>
      </c>
      <c r="E10" s="187" t="s">
        <v>69</v>
      </c>
      <c r="F10" s="67" t="s">
        <v>61</v>
      </c>
      <c r="G10" s="67" t="s">
        <v>70</v>
      </c>
      <c r="H10" s="66" t="s">
        <v>56</v>
      </c>
      <c r="I10" s="67" t="s">
        <v>5</v>
      </c>
      <c r="J10" s="67" t="s">
        <v>6</v>
      </c>
      <c r="K10" s="184" t="s">
        <v>43</v>
      </c>
      <c r="L10" s="67" t="s">
        <v>24</v>
      </c>
      <c r="M10" s="185" t="s">
        <v>7</v>
      </c>
      <c r="N10" s="67" t="s">
        <v>45</v>
      </c>
      <c r="O10" s="67" t="s">
        <v>8</v>
      </c>
      <c r="P10" s="69" t="s">
        <v>46</v>
      </c>
      <c r="Q10" s="68" t="s">
        <v>38</v>
      </c>
      <c r="R10" s="210" t="s">
        <v>37</v>
      </c>
      <c r="S10" s="194" t="s">
        <v>47</v>
      </c>
      <c r="T10" s="194" t="s">
        <v>48</v>
      </c>
      <c r="U10" s="194" t="s">
        <v>49</v>
      </c>
      <c r="V10" s="193" t="s">
        <v>39</v>
      </c>
      <c r="W10" s="183"/>
      <c r="X10" s="182"/>
      <c r="Y10" s="182"/>
      <c r="Z10" s="182"/>
    </row>
    <row r="11" spans="1:26" ht="15.75" thickBot="1" x14ac:dyDescent="0.3">
      <c r="A11" s="328" t="s">
        <v>32</v>
      </c>
      <c r="B11" s="131">
        <v>2017</v>
      </c>
      <c r="C11" s="196">
        <v>45000</v>
      </c>
      <c r="D11" s="4">
        <v>6.25E-2</v>
      </c>
      <c r="E11" s="21">
        <f xml:space="preserve"> (D11*C11)</f>
        <v>2812.5</v>
      </c>
      <c r="F11" s="21">
        <v>60</v>
      </c>
      <c r="G11" s="21">
        <v>75</v>
      </c>
      <c r="H11">
        <v>0</v>
      </c>
      <c r="I11" s="21">
        <v>8500</v>
      </c>
      <c r="J11" s="21">
        <v>3500</v>
      </c>
      <c r="K11" s="21">
        <v>834.30000000000007</v>
      </c>
      <c r="L11" s="21">
        <f>E11+(3*60)+75</f>
        <v>3067.5</v>
      </c>
      <c r="M11" s="84">
        <v>1326</v>
      </c>
      <c r="N11">
        <v>247</v>
      </c>
      <c r="O11">
        <v>1537</v>
      </c>
      <c r="P11" s="206">
        <v>4651</v>
      </c>
      <c r="Q11" s="72">
        <f>C11-P11</f>
        <v>40349</v>
      </c>
      <c r="R11" s="198">
        <f>C11+E11+G11-I11-J11</f>
        <v>35887.5</v>
      </c>
      <c r="S11" s="118">
        <f>(M11+L11+N11+O11+K11)+(M12+N12+O12+K12)+(M12+N12+O12+K12)+(M13+N13+O13+K13)+(M14+N14+O14+K14)+(M15+N15+O15+K15)</f>
        <v>31037.800000000003</v>
      </c>
      <c r="T11" s="34">
        <v>1.6299999999999999E-2</v>
      </c>
      <c r="U11" s="115">
        <f>(1+0.02)*(1+0.02)*(1+0.03)*(1+0.03)*(1+0.01)</f>
        <v>1.1147979636000001</v>
      </c>
      <c r="V11" s="209">
        <f>R11+((S11/U2)-((C11-34393)/U2))</f>
        <v>54214.408253423004</v>
      </c>
      <c r="W11" s="178"/>
      <c r="X11" s="5"/>
      <c r="Y11" s="5"/>
      <c r="Z11" s="5"/>
    </row>
    <row r="12" spans="1:26" ht="15.75" thickBot="1" x14ac:dyDescent="0.3">
      <c r="A12" s="329"/>
      <c r="B12" s="135">
        <v>2018</v>
      </c>
      <c r="C12" s="2"/>
      <c r="D12">
        <v>0</v>
      </c>
      <c r="E12">
        <f xml:space="preserve"> (D12*C12)</f>
        <v>0</v>
      </c>
      <c r="F12" s="21">
        <v>0</v>
      </c>
      <c r="G12">
        <v>0</v>
      </c>
      <c r="H12">
        <v>0</v>
      </c>
      <c r="I12">
        <v>0</v>
      </c>
      <c r="K12" s="21">
        <v>899.1</v>
      </c>
      <c r="M12" s="26">
        <v>1366</v>
      </c>
      <c r="N12">
        <v>195</v>
      </c>
      <c r="O12">
        <v>1654</v>
      </c>
      <c r="P12" s="207">
        <v>1752</v>
      </c>
      <c r="Q12" s="72">
        <f>Q11-P12</f>
        <v>38597</v>
      </c>
      <c r="R12" s="122"/>
      <c r="S12" s="116"/>
      <c r="T12" s="21">
        <v>2.46E-2</v>
      </c>
      <c r="W12" s="178"/>
    </row>
    <row r="13" spans="1:26" ht="15.75" thickBot="1" x14ac:dyDescent="0.3">
      <c r="A13" s="329"/>
      <c r="B13" s="135">
        <v>2019</v>
      </c>
      <c r="C13" s="2"/>
      <c r="D13">
        <v>0</v>
      </c>
      <c r="E13">
        <f xml:space="preserve"> (D13*C13)</f>
        <v>0</v>
      </c>
      <c r="F13" s="21">
        <v>60</v>
      </c>
      <c r="G13">
        <v>0</v>
      </c>
      <c r="H13">
        <v>0</v>
      </c>
      <c r="I13">
        <v>0</v>
      </c>
      <c r="K13" s="21">
        <v>907.2</v>
      </c>
      <c r="M13" s="26">
        <v>1407</v>
      </c>
      <c r="N13">
        <v>1770</v>
      </c>
      <c r="O13">
        <v>1779</v>
      </c>
      <c r="P13" s="207">
        <v>1544</v>
      </c>
      <c r="Q13" s="72">
        <f t="shared" ref="Q13:Q15" si="1">Q12-P13</f>
        <v>37053</v>
      </c>
      <c r="R13" s="122"/>
      <c r="S13" s="116"/>
      <c r="T13" s="21">
        <v>2.75E-2</v>
      </c>
      <c r="W13" s="178"/>
    </row>
    <row r="14" spans="1:26" ht="15.75" thickBot="1" x14ac:dyDescent="0.3">
      <c r="A14" s="329"/>
      <c r="B14" s="135">
        <v>2020</v>
      </c>
      <c r="C14" s="2"/>
      <c r="D14">
        <v>0</v>
      </c>
      <c r="E14">
        <f xml:space="preserve"> (D14*C14)</f>
        <v>0</v>
      </c>
      <c r="F14" s="21">
        <v>0</v>
      </c>
      <c r="G14">
        <v>0</v>
      </c>
      <c r="H14">
        <v>0</v>
      </c>
      <c r="I14">
        <v>0</v>
      </c>
      <c r="K14" s="21">
        <v>891.00000000000011</v>
      </c>
      <c r="M14" s="26">
        <v>1449</v>
      </c>
      <c r="N14">
        <v>167</v>
      </c>
      <c r="O14">
        <v>1912</v>
      </c>
      <c r="P14" s="207">
        <v>1456</v>
      </c>
      <c r="Q14" s="72">
        <f t="shared" si="1"/>
        <v>35597</v>
      </c>
      <c r="R14" s="122"/>
      <c r="S14" s="116"/>
      <c r="T14" s="21">
        <v>2.8299999999999999E-2</v>
      </c>
      <c r="W14" s="178"/>
    </row>
    <row r="15" spans="1:26" x14ac:dyDescent="0.25">
      <c r="A15" s="330"/>
      <c r="B15" s="135">
        <v>2021</v>
      </c>
      <c r="C15" s="2"/>
      <c r="D15">
        <v>0</v>
      </c>
      <c r="E15">
        <f xml:space="preserve"> (D15*C15)</f>
        <v>0</v>
      </c>
      <c r="F15" s="21">
        <v>60</v>
      </c>
      <c r="G15">
        <v>0</v>
      </c>
      <c r="H15">
        <v>0</v>
      </c>
      <c r="I15">
        <v>0</v>
      </c>
      <c r="K15" s="21">
        <v>939.6</v>
      </c>
      <c r="M15" s="44">
        <v>1492</v>
      </c>
      <c r="N15">
        <v>1032</v>
      </c>
      <c r="O15">
        <v>2052</v>
      </c>
      <c r="P15" s="208">
        <v>1204</v>
      </c>
      <c r="Q15" s="72">
        <f t="shared" si="1"/>
        <v>34393</v>
      </c>
      <c r="R15" s="122"/>
      <c r="S15" s="116"/>
      <c r="T15" s="21">
        <v>9.1999999999999998E-3</v>
      </c>
      <c r="W15" s="178"/>
      <c r="X15" s="5"/>
      <c r="Y15" s="5"/>
    </row>
    <row r="16" spans="1:26" s="17" customFormat="1" x14ac:dyDescent="0.25">
      <c r="P16" s="28"/>
      <c r="W16" s="84"/>
    </row>
    <row r="17" spans="1:17" ht="15.75" thickBot="1" x14ac:dyDescent="0.3">
      <c r="A17" s="58" t="s">
        <v>31</v>
      </c>
    </row>
    <row r="18" spans="1:17" ht="16.5" thickBot="1" x14ac:dyDescent="0.3">
      <c r="A18" s="58"/>
      <c r="M18" s="203"/>
      <c r="N18" s="204"/>
      <c r="O18" s="204"/>
      <c r="P18" s="204"/>
      <c r="Q18" s="205"/>
    </row>
    <row r="19" spans="1:17" x14ac:dyDescent="0.25">
      <c r="A19" s="28"/>
    </row>
    <row r="20" spans="1:17" x14ac:dyDescent="0.25">
      <c r="A20" s="58" t="s">
        <v>15</v>
      </c>
      <c r="B20" t="s">
        <v>71</v>
      </c>
    </row>
    <row r="21" spans="1:17" x14ac:dyDescent="0.25">
      <c r="B21" t="s">
        <v>72</v>
      </c>
    </row>
    <row r="22" spans="1:17" x14ac:dyDescent="0.25">
      <c r="B22" t="s">
        <v>73</v>
      </c>
    </row>
  </sheetData>
  <mergeCells count="2">
    <mergeCell ref="A2:A6"/>
    <mergeCell ref="A11:A1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FD08F-3BA9-4963-99D7-E53E0103CFB6}">
  <dimension ref="A1:AC21"/>
  <sheetViews>
    <sheetView topLeftCell="I1" zoomScale="130" zoomScaleNormal="130" workbookViewId="0">
      <selection activeCell="W9" sqref="W9"/>
    </sheetView>
  </sheetViews>
  <sheetFormatPr baseColWidth="10" defaultRowHeight="15" x14ac:dyDescent="0.25"/>
  <cols>
    <col min="1" max="1" width="13.7109375" customWidth="1"/>
    <col min="6" max="6" width="12.5703125" customWidth="1"/>
    <col min="13" max="13" width="12.140625" customWidth="1"/>
    <col min="16" max="16" width="11.42578125" style="91"/>
    <col min="19" max="19" width="17.42578125" customWidth="1"/>
    <col min="20" max="20" width="18.28515625" customWidth="1"/>
    <col min="21" max="21" width="15.28515625" customWidth="1"/>
    <col min="22" max="22" width="17" customWidth="1"/>
    <col min="23" max="23" width="17.28515625" style="261" customWidth="1"/>
  </cols>
  <sheetData>
    <row r="1" spans="1:29" s="54" customFormat="1" ht="91.5" customHeight="1" x14ac:dyDescent="0.25">
      <c r="A1" s="186" t="s">
        <v>55</v>
      </c>
      <c r="B1" s="187" t="s">
        <v>14</v>
      </c>
      <c r="C1" s="187" t="s">
        <v>0</v>
      </c>
      <c r="D1" s="187" t="s">
        <v>68</v>
      </c>
      <c r="E1" s="187" t="s">
        <v>69</v>
      </c>
      <c r="F1" s="187" t="s">
        <v>74</v>
      </c>
      <c r="G1" s="187" t="s">
        <v>70</v>
      </c>
      <c r="H1" s="29" t="s">
        <v>79</v>
      </c>
      <c r="I1" s="188" t="s">
        <v>56</v>
      </c>
      <c r="J1" s="187" t="s">
        <v>5</v>
      </c>
      <c r="K1" s="187" t="s">
        <v>6</v>
      </c>
      <c r="L1" s="189" t="s">
        <v>34</v>
      </c>
      <c r="M1" s="187" t="s">
        <v>24</v>
      </c>
      <c r="N1" s="190" t="s">
        <v>7</v>
      </c>
      <c r="O1" s="187" t="s">
        <v>45</v>
      </c>
      <c r="P1" s="189" t="s">
        <v>8</v>
      </c>
      <c r="Q1" s="187" t="s">
        <v>46</v>
      </c>
      <c r="R1" s="186" t="s">
        <v>38</v>
      </c>
      <c r="S1" s="199" t="s">
        <v>37</v>
      </c>
      <c r="T1" s="192" t="s">
        <v>47</v>
      </c>
      <c r="U1" s="192" t="s">
        <v>48</v>
      </c>
      <c r="V1" s="192" t="s">
        <v>49</v>
      </c>
      <c r="W1" s="191" t="s">
        <v>39</v>
      </c>
      <c r="X1" s="27"/>
      <c r="Y1" s="27"/>
      <c r="Z1" s="27"/>
      <c r="AA1" s="27"/>
      <c r="AB1" s="27"/>
    </row>
    <row r="2" spans="1:29" ht="15" customHeight="1" x14ac:dyDescent="0.25">
      <c r="A2" s="334" t="s">
        <v>17</v>
      </c>
      <c r="B2" s="213">
        <v>2017</v>
      </c>
      <c r="C2" s="196">
        <v>24000</v>
      </c>
      <c r="D2" s="4">
        <v>7.0499999999999993E-2</v>
      </c>
      <c r="E2" s="22">
        <f>(D2*C2)</f>
        <v>1691.9999999999998</v>
      </c>
      <c r="F2" s="21">
        <v>34.5</v>
      </c>
      <c r="G2" s="21">
        <v>15</v>
      </c>
      <c r="H2" s="114">
        <v>0</v>
      </c>
      <c r="I2" s="97">
        <v>0</v>
      </c>
      <c r="J2">
        <v>0</v>
      </c>
      <c r="K2">
        <v>0</v>
      </c>
      <c r="L2" s="21">
        <v>1132.1999999999998</v>
      </c>
      <c r="M2" s="21">
        <f>G2+(5*F2)+(4*H3)</f>
        <v>259.5</v>
      </c>
      <c r="N2" s="21">
        <v>670</v>
      </c>
      <c r="O2" s="21">
        <v>796</v>
      </c>
      <c r="P2" s="21">
        <v>337</v>
      </c>
      <c r="Q2" s="21">
        <v>4740</v>
      </c>
      <c r="R2" s="21">
        <f>C2-Q2</f>
        <v>19260</v>
      </c>
      <c r="S2" s="198">
        <f>C2+E2+G2</f>
        <v>25707</v>
      </c>
      <c r="T2" s="198">
        <f>(M2+L2+N2+O2+P2)+(L3+N3+O3+P3)+(L4+N4+O4+P4)+(L5+N5+O5+P5)+(L6+N6+O6+P6)</f>
        <v>16596.27</v>
      </c>
      <c r="U2" s="34">
        <v>1.6299999999999999E-2</v>
      </c>
      <c r="V2" s="115">
        <f>(1+0.02)*(1+0.02)*(1+0.03)*(1+0.03)*(1+0.01)</f>
        <v>1.1147979636000001</v>
      </c>
      <c r="W2" s="260">
        <f>S2+((T2/V2)-((C2-13823)/V2))</f>
        <v>31465.236209250281</v>
      </c>
      <c r="X2" s="5"/>
      <c r="Y2" s="5"/>
      <c r="Z2" s="5"/>
      <c r="AA2" s="5"/>
    </row>
    <row r="3" spans="1:29" x14ac:dyDescent="0.25">
      <c r="A3" s="328"/>
      <c r="B3" s="135">
        <v>2018</v>
      </c>
      <c r="C3" s="2"/>
      <c r="D3" s="3">
        <v>0</v>
      </c>
      <c r="E3" s="3">
        <f>(D3*C3)</f>
        <v>0</v>
      </c>
      <c r="F3" s="21">
        <v>34.5</v>
      </c>
      <c r="G3">
        <v>0</v>
      </c>
      <c r="H3" s="128">
        <v>18</v>
      </c>
      <c r="I3" s="12">
        <v>0</v>
      </c>
      <c r="J3">
        <v>0</v>
      </c>
      <c r="K3">
        <v>0</v>
      </c>
      <c r="L3" s="21">
        <v>1280.94</v>
      </c>
      <c r="N3" s="21">
        <v>690</v>
      </c>
      <c r="O3" s="21">
        <v>298</v>
      </c>
      <c r="P3" s="21">
        <v>393</v>
      </c>
      <c r="Q3" s="21">
        <v>949</v>
      </c>
      <c r="R3" s="21">
        <f>R2-Q3</f>
        <v>18311</v>
      </c>
      <c r="S3" s="122"/>
      <c r="T3" s="122"/>
      <c r="U3" s="21">
        <v>2.46E-2</v>
      </c>
      <c r="V3" s="116"/>
      <c r="W3" s="266"/>
      <c r="X3" s="5"/>
    </row>
    <row r="4" spans="1:29" x14ac:dyDescent="0.25">
      <c r="A4" s="328"/>
      <c r="B4" s="135">
        <v>2019</v>
      </c>
      <c r="C4" s="2"/>
      <c r="D4" s="3">
        <v>0</v>
      </c>
      <c r="E4" s="3">
        <f>(D4*C4)</f>
        <v>0</v>
      </c>
      <c r="F4" s="21">
        <v>34.5</v>
      </c>
      <c r="G4">
        <v>0</v>
      </c>
      <c r="H4" s="128">
        <v>18</v>
      </c>
      <c r="I4" s="12">
        <v>0</v>
      </c>
      <c r="J4">
        <v>0</v>
      </c>
      <c r="K4">
        <v>0</v>
      </c>
      <c r="L4" s="21">
        <v>1278.165</v>
      </c>
      <c r="N4" s="21">
        <v>711</v>
      </c>
      <c r="O4" s="21">
        <v>1726</v>
      </c>
      <c r="P4" s="227">
        <v>457</v>
      </c>
      <c r="Q4" s="227">
        <v>1648</v>
      </c>
      <c r="R4" s="21">
        <f t="shared" ref="R4:R6" si="0">R3-Q4</f>
        <v>16663</v>
      </c>
      <c r="S4" s="122"/>
      <c r="T4" s="122"/>
      <c r="U4" s="21">
        <v>2.75E-2</v>
      </c>
      <c r="V4" s="116"/>
      <c r="W4" s="266"/>
      <c r="X4" s="5"/>
    </row>
    <row r="5" spans="1:29" x14ac:dyDescent="0.25">
      <c r="A5" s="328"/>
      <c r="B5" s="135">
        <v>2020</v>
      </c>
      <c r="C5" s="2"/>
      <c r="D5" s="3">
        <v>0</v>
      </c>
      <c r="E5" s="3">
        <f>(D5*C5)</f>
        <v>0</v>
      </c>
      <c r="F5" s="21">
        <v>34.5</v>
      </c>
      <c r="G5">
        <v>0</v>
      </c>
      <c r="H5" s="128">
        <v>18</v>
      </c>
      <c r="I5" s="12">
        <v>0</v>
      </c>
      <c r="J5">
        <v>0</v>
      </c>
      <c r="K5">
        <v>0</v>
      </c>
      <c r="L5" s="21">
        <v>973.46999999999991</v>
      </c>
      <c r="N5" s="21">
        <v>732</v>
      </c>
      <c r="O5" s="21">
        <v>415</v>
      </c>
      <c r="P5" s="21">
        <v>532</v>
      </c>
      <c r="Q5" s="21">
        <v>1603</v>
      </c>
      <c r="R5" s="21">
        <f t="shared" si="0"/>
        <v>15060</v>
      </c>
      <c r="S5" s="122"/>
      <c r="T5" s="122"/>
      <c r="U5" s="21">
        <v>2.8299999999999999E-2</v>
      </c>
      <c r="V5" s="116"/>
      <c r="W5" s="266"/>
      <c r="X5" s="5"/>
    </row>
    <row r="6" spans="1:29" x14ac:dyDescent="0.25">
      <c r="A6" s="328"/>
      <c r="B6" s="135">
        <v>2021</v>
      </c>
      <c r="C6" s="2"/>
      <c r="D6" s="3">
        <v>0</v>
      </c>
      <c r="E6" s="3">
        <f>(D6*C6)</f>
        <v>0</v>
      </c>
      <c r="F6" s="21">
        <v>34.5</v>
      </c>
      <c r="G6">
        <v>0</v>
      </c>
      <c r="H6" s="128">
        <v>18</v>
      </c>
      <c r="I6" s="12">
        <v>0</v>
      </c>
      <c r="J6">
        <v>0</v>
      </c>
      <c r="K6">
        <v>0</v>
      </c>
      <c r="L6" s="21">
        <v>1447.9949999999999</v>
      </c>
      <c r="N6" s="21">
        <v>754</v>
      </c>
      <c r="O6" s="21">
        <v>1095</v>
      </c>
      <c r="P6" s="21">
        <v>618</v>
      </c>
      <c r="Q6" s="21">
        <v>1237</v>
      </c>
      <c r="R6" s="21">
        <f t="shared" si="0"/>
        <v>13823</v>
      </c>
      <c r="S6" s="122"/>
      <c r="T6" s="122"/>
      <c r="U6" s="21">
        <v>9.1999999999999998E-3</v>
      </c>
      <c r="V6" s="116"/>
      <c r="W6" s="266"/>
      <c r="X6" s="5"/>
      <c r="Y6" s="5"/>
      <c r="Z6" s="5"/>
    </row>
    <row r="7" spans="1:29" x14ac:dyDescent="0.25">
      <c r="A7" s="217"/>
      <c r="B7" s="218"/>
      <c r="C7" s="219"/>
      <c r="D7" s="129"/>
      <c r="E7" s="129"/>
      <c r="F7" s="220"/>
      <c r="G7" s="221"/>
      <c r="H7" s="222"/>
      <c r="I7" s="223"/>
      <c r="J7" s="221"/>
      <c r="K7" s="221"/>
      <c r="L7" s="220"/>
      <c r="M7" s="221"/>
      <c r="N7" s="223"/>
      <c r="O7" s="223"/>
      <c r="P7" s="223"/>
      <c r="Q7" s="223"/>
      <c r="R7" s="221"/>
      <c r="S7" s="224"/>
      <c r="T7" s="225"/>
      <c r="U7" s="226"/>
      <c r="V7" s="221"/>
      <c r="W7" s="262"/>
      <c r="X7" s="5"/>
      <c r="Y7" s="5"/>
      <c r="Z7" s="5"/>
    </row>
    <row r="8" spans="1:29" s="17" customFormat="1" ht="91.5" customHeight="1" x14ac:dyDescent="0.25">
      <c r="A8" s="68" t="s">
        <v>55</v>
      </c>
      <c r="B8" s="185" t="s">
        <v>14</v>
      </c>
      <c r="C8" s="67" t="s">
        <v>0</v>
      </c>
      <c r="D8" s="67" t="s">
        <v>68</v>
      </c>
      <c r="E8" s="67" t="s">
        <v>69</v>
      </c>
      <c r="F8" s="215" t="s">
        <v>74</v>
      </c>
      <c r="G8" s="67" t="s">
        <v>70</v>
      </c>
      <c r="H8" s="67" t="s">
        <v>79</v>
      </c>
      <c r="I8" s="66" t="s">
        <v>56</v>
      </c>
      <c r="J8" s="67" t="s">
        <v>5</v>
      </c>
      <c r="K8" s="67" t="s">
        <v>6</v>
      </c>
      <c r="L8" s="184" t="s">
        <v>43</v>
      </c>
      <c r="M8" s="67" t="s">
        <v>24</v>
      </c>
      <c r="N8" s="185" t="s">
        <v>7</v>
      </c>
      <c r="O8" s="67" t="s">
        <v>45</v>
      </c>
      <c r="P8" s="184" t="s">
        <v>8</v>
      </c>
      <c r="Q8" s="67" t="s">
        <v>46</v>
      </c>
      <c r="R8" s="68" t="s">
        <v>38</v>
      </c>
      <c r="S8" s="210" t="s">
        <v>37</v>
      </c>
      <c r="T8" s="194" t="s">
        <v>47</v>
      </c>
      <c r="U8" s="194" t="s">
        <v>48</v>
      </c>
      <c r="V8" s="194" t="s">
        <v>49</v>
      </c>
      <c r="W8" s="193" t="s">
        <v>39</v>
      </c>
      <c r="X8" s="24"/>
      <c r="Y8" s="24"/>
      <c r="Z8" s="24"/>
      <c r="AA8" s="24"/>
      <c r="AB8" s="24"/>
      <c r="AC8" s="24"/>
    </row>
    <row r="9" spans="1:29" s="17" customFormat="1" x14ac:dyDescent="0.25">
      <c r="A9" s="328" t="s">
        <v>32</v>
      </c>
      <c r="B9" s="131">
        <v>2017</v>
      </c>
      <c r="C9" s="214">
        <v>45000</v>
      </c>
      <c r="D9" s="4">
        <v>7.0499999999999993E-2</v>
      </c>
      <c r="E9" s="78">
        <f xml:space="preserve"> (D9*C9)</f>
        <v>3172.4999999999995</v>
      </c>
      <c r="F9" s="78">
        <v>34.5</v>
      </c>
      <c r="G9" s="78">
        <v>15</v>
      </c>
      <c r="H9" s="97">
        <v>0</v>
      </c>
      <c r="I9" s="17">
        <v>0</v>
      </c>
      <c r="J9" s="78">
        <v>8500</v>
      </c>
      <c r="K9">
        <v>0</v>
      </c>
      <c r="L9" s="78">
        <v>511.51500000000004</v>
      </c>
      <c r="M9" s="16">
        <f>G9+(5*F9)</f>
        <v>187.5</v>
      </c>
      <c r="N9" s="21">
        <v>1326</v>
      </c>
      <c r="O9" s="21">
        <v>247</v>
      </c>
      <c r="P9" s="21">
        <v>1537</v>
      </c>
      <c r="Q9" s="21">
        <v>4651</v>
      </c>
      <c r="R9" s="78">
        <f>C9-Q9</f>
        <v>40349</v>
      </c>
      <c r="S9" s="121">
        <f>C2+E2+G2-J9</f>
        <v>17207</v>
      </c>
      <c r="T9" s="121">
        <f>(M9+L9+N9+O9+P9)+(L10+N10+O10+P10)+(L11+N11+O11+P11)+(L12+N12+O12+P12)+(L13+N13+O13+P13)</f>
        <v>22109.014999999999</v>
      </c>
      <c r="U9" s="34">
        <v>1.6299999999999999E-2</v>
      </c>
      <c r="V9" s="115">
        <f>(1+0.02)*(1+0.02)*(1+0.03)*(1+0.03)*(1+0.01)</f>
        <v>1.1147979636000001</v>
      </c>
      <c r="W9" s="265">
        <f>S9+((T9/V2)-((C9-34393)/V2))</f>
        <v>27524.578050516633</v>
      </c>
      <c r="X9" s="18"/>
      <c r="Y9" s="18"/>
      <c r="Z9" s="18"/>
      <c r="AA9" s="18"/>
    </row>
    <row r="10" spans="1:29" x14ac:dyDescent="0.25">
      <c r="A10" s="328"/>
      <c r="B10" s="135">
        <v>2018</v>
      </c>
      <c r="C10" s="2"/>
      <c r="D10">
        <v>0</v>
      </c>
      <c r="E10">
        <f xml:space="preserve"> (D10*C10)</f>
        <v>0</v>
      </c>
      <c r="F10" s="21">
        <v>34.5</v>
      </c>
      <c r="G10">
        <v>0</v>
      </c>
      <c r="H10" s="12">
        <v>0</v>
      </c>
      <c r="I10">
        <v>0</v>
      </c>
      <c r="J10">
        <v>0</v>
      </c>
      <c r="K10">
        <v>0</v>
      </c>
      <c r="L10" s="21">
        <v>508.67999999999995</v>
      </c>
      <c r="M10" s="3"/>
      <c r="N10" s="21">
        <v>1366</v>
      </c>
      <c r="O10" s="21">
        <v>195</v>
      </c>
      <c r="P10" s="21">
        <v>1654</v>
      </c>
      <c r="Q10" s="21">
        <v>1752</v>
      </c>
      <c r="R10" s="21">
        <f>R9-Q10</f>
        <v>38597</v>
      </c>
      <c r="S10" s="116"/>
      <c r="T10" s="197"/>
      <c r="U10" s="21">
        <v>2.46E-2</v>
      </c>
      <c r="X10" s="5"/>
    </row>
    <row r="11" spans="1:29" x14ac:dyDescent="0.25">
      <c r="A11" s="328"/>
      <c r="B11" s="135">
        <v>2019</v>
      </c>
      <c r="C11" s="2"/>
      <c r="D11">
        <v>0</v>
      </c>
      <c r="E11">
        <f xml:space="preserve"> (D11*C11)</f>
        <v>0</v>
      </c>
      <c r="F11" s="21">
        <v>34.5</v>
      </c>
      <c r="G11">
        <v>0</v>
      </c>
      <c r="H11" s="12">
        <v>0</v>
      </c>
      <c r="I11">
        <v>0</v>
      </c>
      <c r="J11">
        <v>0</v>
      </c>
      <c r="K11">
        <v>0</v>
      </c>
      <c r="L11" s="21">
        <v>501.39000000000004</v>
      </c>
      <c r="M11" s="3"/>
      <c r="N11" s="227">
        <v>1407</v>
      </c>
      <c r="O11" s="227">
        <v>1770</v>
      </c>
      <c r="P11" s="227">
        <v>1779</v>
      </c>
      <c r="Q11" s="227">
        <v>1544</v>
      </c>
      <c r="R11" s="21">
        <f t="shared" ref="R11:R13" si="1">R10-Q11</f>
        <v>37053</v>
      </c>
      <c r="S11" s="116"/>
      <c r="T11" s="197"/>
      <c r="U11" s="21">
        <v>2.75E-2</v>
      </c>
      <c r="X11" s="5"/>
    </row>
    <row r="12" spans="1:29" x14ac:dyDescent="0.25">
      <c r="A12" s="328"/>
      <c r="B12" s="135">
        <v>2020</v>
      </c>
      <c r="C12" s="2"/>
      <c r="D12">
        <v>0</v>
      </c>
      <c r="E12">
        <f xml:space="preserve"> (D12*C12)</f>
        <v>0</v>
      </c>
      <c r="F12" s="21">
        <v>34.5</v>
      </c>
      <c r="G12">
        <v>0</v>
      </c>
      <c r="H12" s="12">
        <v>0</v>
      </c>
      <c r="I12">
        <v>0</v>
      </c>
      <c r="J12">
        <v>0</v>
      </c>
      <c r="K12">
        <v>0</v>
      </c>
      <c r="L12" s="21">
        <v>497.745</v>
      </c>
      <c r="M12" s="3"/>
      <c r="N12" s="21">
        <v>1449</v>
      </c>
      <c r="O12" s="21">
        <v>167</v>
      </c>
      <c r="P12" s="21">
        <v>1912</v>
      </c>
      <c r="Q12" s="21">
        <v>1456</v>
      </c>
      <c r="R12" s="21">
        <f t="shared" si="1"/>
        <v>35597</v>
      </c>
      <c r="S12" s="116"/>
      <c r="T12" s="197"/>
      <c r="U12" s="21">
        <v>2.8299999999999999E-2</v>
      </c>
      <c r="X12" s="5"/>
    </row>
    <row r="13" spans="1:29" x14ac:dyDescent="0.25">
      <c r="A13" s="335"/>
      <c r="B13" s="135">
        <v>2021</v>
      </c>
      <c r="C13" s="2"/>
      <c r="D13">
        <v>0</v>
      </c>
      <c r="E13">
        <f xml:space="preserve"> (D13*C13)</f>
        <v>0</v>
      </c>
      <c r="F13" s="21">
        <v>34.5</v>
      </c>
      <c r="G13">
        <v>0</v>
      </c>
      <c r="H13" s="12">
        <v>0</v>
      </c>
      <c r="I13">
        <v>0</v>
      </c>
      <c r="J13">
        <v>0</v>
      </c>
      <c r="K13">
        <v>0</v>
      </c>
      <c r="L13" s="21">
        <v>517.18500000000006</v>
      </c>
      <c r="M13" s="3"/>
      <c r="N13" s="50">
        <v>1492</v>
      </c>
      <c r="O13" s="50">
        <v>1032</v>
      </c>
      <c r="P13" s="50">
        <v>2052</v>
      </c>
      <c r="Q13" s="50">
        <v>1204</v>
      </c>
      <c r="R13" s="50">
        <f t="shared" si="1"/>
        <v>34393</v>
      </c>
      <c r="S13" s="116"/>
      <c r="T13" s="197"/>
      <c r="U13" s="21">
        <v>9.1999999999999998E-3</v>
      </c>
      <c r="X13" s="5"/>
      <c r="Y13" s="5"/>
      <c r="Z13" s="5"/>
    </row>
    <row r="14" spans="1:29" s="17" customFormat="1" x14ac:dyDescent="0.25">
      <c r="N14" s="28"/>
      <c r="O14" s="28"/>
      <c r="P14" s="25"/>
      <c r="Q14" s="28"/>
      <c r="R14" s="28"/>
      <c r="W14" s="281"/>
    </row>
    <row r="15" spans="1:29" x14ac:dyDescent="0.25">
      <c r="A15" s="58" t="s">
        <v>31</v>
      </c>
      <c r="B15" t="s">
        <v>75</v>
      </c>
    </row>
    <row r="16" spans="1:29" x14ac:dyDescent="0.25">
      <c r="A16" s="58"/>
    </row>
    <row r="17" spans="1:2" x14ac:dyDescent="0.25">
      <c r="A17" s="28"/>
    </row>
    <row r="18" spans="1:2" x14ac:dyDescent="0.25">
      <c r="A18" s="58" t="s">
        <v>15</v>
      </c>
      <c r="B18" t="s">
        <v>77</v>
      </c>
    </row>
    <row r="19" spans="1:2" x14ac:dyDescent="0.25">
      <c r="B19" t="s">
        <v>78</v>
      </c>
    </row>
    <row r="20" spans="1:2" x14ac:dyDescent="0.25">
      <c r="B20" t="s">
        <v>76</v>
      </c>
    </row>
    <row r="21" spans="1:2" x14ac:dyDescent="0.25">
      <c r="B21" t="s">
        <v>80</v>
      </c>
    </row>
  </sheetData>
  <mergeCells count="2">
    <mergeCell ref="A2:A6"/>
    <mergeCell ref="A9:A13"/>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1BC8B-B920-4FB8-8A1C-9CBCB9886FDB}">
  <dimension ref="A1:AU23"/>
  <sheetViews>
    <sheetView topLeftCell="P1" zoomScale="130" zoomScaleNormal="130" workbookViewId="0">
      <selection activeCell="Z9" sqref="Z9"/>
    </sheetView>
  </sheetViews>
  <sheetFormatPr baseColWidth="10" defaultRowHeight="15" x14ac:dyDescent="0.25"/>
  <cols>
    <col min="1" max="1" width="13.42578125" customWidth="1"/>
    <col min="16" max="16" width="12.7109375" customWidth="1"/>
    <col min="17" max="17" width="15.5703125" style="26" customWidth="1"/>
    <col min="18" max="18" width="14.42578125" customWidth="1"/>
    <col min="19" max="19" width="15.42578125" customWidth="1"/>
    <col min="20" max="20" width="15.140625" customWidth="1"/>
    <col min="21" max="21" width="15" customWidth="1"/>
    <col min="22" max="22" width="17.7109375" style="26" customWidth="1"/>
    <col min="23" max="24" width="15.42578125" customWidth="1"/>
    <col min="25" max="25" width="15.140625" customWidth="1"/>
    <col min="26" max="26" width="15" style="261" customWidth="1"/>
  </cols>
  <sheetData>
    <row r="1" spans="1:47" ht="90" x14ac:dyDescent="0.25">
      <c r="A1" s="232" t="s">
        <v>55</v>
      </c>
      <c r="B1" s="233" t="s">
        <v>14</v>
      </c>
      <c r="C1" s="233" t="s">
        <v>0</v>
      </c>
      <c r="D1" s="233" t="s">
        <v>82</v>
      </c>
      <c r="E1" s="233" t="s">
        <v>83</v>
      </c>
      <c r="F1" s="85" t="s">
        <v>84</v>
      </c>
      <c r="G1" s="85" t="s">
        <v>90</v>
      </c>
      <c r="H1" s="239" t="s">
        <v>91</v>
      </c>
      <c r="I1" s="239" t="s">
        <v>95</v>
      </c>
      <c r="J1" s="29" t="s">
        <v>81</v>
      </c>
      <c r="K1" s="29" t="s">
        <v>94</v>
      </c>
      <c r="L1" s="188" t="s">
        <v>56</v>
      </c>
      <c r="M1" s="187" t="s">
        <v>5</v>
      </c>
      <c r="N1" s="187" t="s">
        <v>6</v>
      </c>
      <c r="O1" s="189" t="s">
        <v>34</v>
      </c>
      <c r="P1" s="187" t="s">
        <v>24</v>
      </c>
      <c r="Q1" s="190" t="s">
        <v>7</v>
      </c>
      <c r="R1" s="239" t="s">
        <v>45</v>
      </c>
      <c r="S1" s="258" t="s">
        <v>8</v>
      </c>
      <c r="T1" s="187" t="s">
        <v>25</v>
      </c>
      <c r="U1" s="186" t="s">
        <v>38</v>
      </c>
      <c r="V1" s="43" t="s">
        <v>37</v>
      </c>
      <c r="W1" s="42" t="s">
        <v>47</v>
      </c>
      <c r="X1" s="42" t="s">
        <v>48</v>
      </c>
      <c r="Y1" s="42" t="s">
        <v>49</v>
      </c>
      <c r="Z1" s="259" t="s">
        <v>39</v>
      </c>
      <c r="AA1" s="91"/>
      <c r="AB1" s="91"/>
      <c r="AC1" s="91"/>
      <c r="AD1" s="91"/>
      <c r="AE1" s="91"/>
      <c r="AF1" s="91"/>
      <c r="AG1" s="91"/>
      <c r="AH1" s="91"/>
      <c r="AI1" s="91"/>
      <c r="AJ1" s="91"/>
      <c r="AK1" s="91"/>
      <c r="AL1" s="91"/>
      <c r="AM1" s="91"/>
      <c r="AN1" s="91"/>
      <c r="AO1" s="91"/>
      <c r="AP1" s="91"/>
      <c r="AQ1" s="91"/>
      <c r="AR1" s="91"/>
      <c r="AS1" s="91"/>
      <c r="AT1" s="91"/>
      <c r="AU1" s="91"/>
    </row>
    <row r="2" spans="1:47" x14ac:dyDescent="0.25">
      <c r="A2" s="334" t="s">
        <v>17</v>
      </c>
      <c r="B2" s="213">
        <v>2017</v>
      </c>
      <c r="C2" s="196">
        <v>24000</v>
      </c>
      <c r="D2" s="21">
        <f>(75%*C2)</f>
        <v>18000</v>
      </c>
      <c r="E2" s="4">
        <v>2.1000000000000001E-2</v>
      </c>
      <c r="F2" s="96">
        <f>(E2*D2)</f>
        <v>378</v>
      </c>
      <c r="G2" s="19">
        <v>8.8099999999999998E-2</v>
      </c>
      <c r="H2" s="96">
        <f>(G2*C2)</f>
        <v>2114.4</v>
      </c>
      <c r="I2" s="96">
        <v>25</v>
      </c>
      <c r="J2" s="78">
        <v>41</v>
      </c>
      <c r="K2" s="78">
        <v>7.2</v>
      </c>
      <c r="L2" s="12"/>
      <c r="M2">
        <v>0</v>
      </c>
      <c r="N2">
        <v>0</v>
      </c>
      <c r="O2" s="21">
        <v>1194.6374999999998</v>
      </c>
      <c r="P2" s="22">
        <f>F2+F3+F4+F6+I2+I4+J2+J3+J4+J5+J6</f>
        <v>1200</v>
      </c>
      <c r="Q2" s="201">
        <v>1106</v>
      </c>
      <c r="R2" s="70">
        <v>894</v>
      </c>
      <c r="S2" s="70">
        <v>394</v>
      </c>
      <c r="T2" s="71">
        <v>4807</v>
      </c>
      <c r="U2" s="21">
        <f>C2-T2</f>
        <v>19193</v>
      </c>
      <c r="V2" s="200">
        <f>C2+H2+K2</f>
        <v>26121.600000000002</v>
      </c>
      <c r="W2" s="70">
        <f>P2+(Q2+R2+S2)+(Q3+R3+S3)+(Q4+R4+S4)+(Q5+R5+S5)+(Q6+R6+S6)</f>
        <v>14691</v>
      </c>
      <c r="X2" s="34">
        <v>1.6299999999999999E-2</v>
      </c>
      <c r="Y2" s="115">
        <f>(1+0.02)*(1+0.02)*(1+0.03)*(1+0.03)*(1+0.01)</f>
        <v>1.1147979636000001</v>
      </c>
      <c r="Z2" s="260">
        <f>V2+((W2/Y2)-((C2-13678)/Y2))</f>
        <v>30040.695784756601</v>
      </c>
      <c r="AA2" s="109"/>
      <c r="AB2" s="109"/>
      <c r="AC2" s="109"/>
      <c r="AD2" s="91"/>
      <c r="AE2" s="91"/>
      <c r="AF2" s="91"/>
      <c r="AG2" s="91"/>
      <c r="AH2" s="91"/>
      <c r="AI2" s="91"/>
      <c r="AJ2" s="91"/>
      <c r="AK2" s="91"/>
      <c r="AL2" s="91"/>
      <c r="AM2" s="91"/>
      <c r="AN2" s="91"/>
      <c r="AO2" s="91"/>
      <c r="AP2" s="91"/>
      <c r="AQ2" s="91"/>
      <c r="AR2" s="91"/>
      <c r="AS2" s="91"/>
      <c r="AT2" s="91"/>
      <c r="AU2" s="91"/>
    </row>
    <row r="3" spans="1:47" x14ac:dyDescent="0.25">
      <c r="A3" s="328"/>
      <c r="B3" s="135">
        <v>2018</v>
      </c>
      <c r="C3" s="196">
        <v>24000</v>
      </c>
      <c r="D3" s="21">
        <f>(75%*C3)</f>
        <v>18000</v>
      </c>
      <c r="E3" s="4">
        <v>1.4999999999999999E-2</v>
      </c>
      <c r="F3" s="22">
        <f>(E3*D3)</f>
        <v>270</v>
      </c>
      <c r="G3" s="3">
        <v>0</v>
      </c>
      <c r="H3" s="22">
        <f>(G3*C3)</f>
        <v>0</v>
      </c>
      <c r="I3" s="247">
        <v>0</v>
      </c>
      <c r="J3" s="21">
        <v>41</v>
      </c>
      <c r="K3" s="21">
        <v>0</v>
      </c>
      <c r="L3" s="12"/>
      <c r="M3">
        <v>0</v>
      </c>
      <c r="N3">
        <v>0</v>
      </c>
      <c r="O3" s="21">
        <v>1357.1969999999999</v>
      </c>
      <c r="P3" s="3"/>
      <c r="Q3" s="201">
        <v>1139</v>
      </c>
      <c r="R3" s="71">
        <v>352</v>
      </c>
      <c r="S3" s="71">
        <v>458</v>
      </c>
      <c r="T3" s="71">
        <v>963</v>
      </c>
      <c r="U3" s="21">
        <f>U2-T3</f>
        <v>18230</v>
      </c>
      <c r="V3" s="254"/>
      <c r="W3" s="25"/>
      <c r="X3" s="21">
        <v>2.46E-2</v>
      </c>
      <c r="Y3" s="25"/>
      <c r="AA3" s="109"/>
      <c r="AB3" s="91"/>
      <c r="AC3" s="91"/>
      <c r="AD3" s="91"/>
      <c r="AE3" s="91"/>
      <c r="AF3" s="91"/>
      <c r="AG3" s="91"/>
      <c r="AH3" s="91"/>
      <c r="AI3" s="91"/>
      <c r="AJ3" s="91"/>
      <c r="AK3" s="91"/>
      <c r="AL3" s="91"/>
      <c r="AM3" s="91"/>
      <c r="AN3" s="91"/>
      <c r="AO3" s="91"/>
      <c r="AP3" s="91"/>
      <c r="AQ3" s="91"/>
      <c r="AR3" s="91"/>
      <c r="AS3" s="91"/>
      <c r="AT3" s="91"/>
      <c r="AU3" s="91"/>
    </row>
    <row r="4" spans="1:47" x14ac:dyDescent="0.25">
      <c r="A4" s="328"/>
      <c r="B4" s="135">
        <v>2019</v>
      </c>
      <c r="C4" s="196">
        <v>24000</v>
      </c>
      <c r="D4" s="21">
        <f>(75%*C4)</f>
        <v>18000</v>
      </c>
      <c r="E4" s="4">
        <v>1.2E-2</v>
      </c>
      <c r="F4" s="22">
        <f>(E4*D4)</f>
        <v>216</v>
      </c>
      <c r="G4" s="3">
        <v>0</v>
      </c>
      <c r="H4" s="22">
        <f>(G4*C4)</f>
        <v>0</v>
      </c>
      <c r="I4" s="247">
        <v>25</v>
      </c>
      <c r="J4" s="21">
        <v>41</v>
      </c>
      <c r="K4" s="21">
        <v>0</v>
      </c>
      <c r="L4" s="12"/>
      <c r="M4">
        <v>0</v>
      </c>
      <c r="N4">
        <v>0</v>
      </c>
      <c r="O4" s="21">
        <v>1299.5324999999998</v>
      </c>
      <c r="P4" s="3"/>
      <c r="Q4" s="201">
        <v>1173</v>
      </c>
      <c r="R4" s="71">
        <v>1889</v>
      </c>
      <c r="S4" s="71">
        <v>535</v>
      </c>
      <c r="T4" s="71">
        <v>1672</v>
      </c>
      <c r="U4" s="21">
        <f t="shared" ref="U4:U6" si="0">U3-T4</f>
        <v>16558</v>
      </c>
      <c r="V4" s="254"/>
      <c r="W4" s="25"/>
      <c r="X4" s="21">
        <v>2.75E-2</v>
      </c>
      <c r="Y4" s="25"/>
      <c r="AA4" s="109"/>
      <c r="AB4" s="91"/>
      <c r="AC4" s="91"/>
      <c r="AD4" s="91"/>
      <c r="AE4" s="91"/>
      <c r="AF4" s="91"/>
      <c r="AG4" s="91"/>
      <c r="AH4" s="91"/>
      <c r="AI4" s="91"/>
      <c r="AJ4" s="91"/>
      <c r="AK4" s="91"/>
      <c r="AL4" s="91"/>
      <c r="AM4" s="91"/>
      <c r="AN4" s="91"/>
      <c r="AO4" s="91"/>
      <c r="AP4" s="91"/>
      <c r="AQ4" s="91"/>
      <c r="AR4" s="91"/>
      <c r="AS4" s="91"/>
      <c r="AT4" s="91"/>
      <c r="AU4" s="91"/>
    </row>
    <row r="5" spans="1:47" x14ac:dyDescent="0.25">
      <c r="A5" s="328"/>
      <c r="B5" s="135">
        <v>2020</v>
      </c>
      <c r="C5" s="196">
        <v>24000</v>
      </c>
      <c r="D5" s="21">
        <f>(75%*C5)</f>
        <v>18000</v>
      </c>
      <c r="E5" s="4">
        <v>8.9999999999999993E-3</v>
      </c>
      <c r="F5" s="22">
        <f>(E5*D5)</f>
        <v>162</v>
      </c>
      <c r="G5" s="3">
        <v>0</v>
      </c>
      <c r="H5" s="22">
        <f>(G5*C5)</f>
        <v>0</v>
      </c>
      <c r="I5" s="247">
        <v>0</v>
      </c>
      <c r="J5" s="21">
        <v>41</v>
      </c>
      <c r="K5" s="21">
        <v>0</v>
      </c>
      <c r="L5" s="12"/>
      <c r="M5">
        <v>0</v>
      </c>
      <c r="N5">
        <v>0</v>
      </c>
      <c r="O5" s="21">
        <v>1012.098</v>
      </c>
      <c r="P5" s="3"/>
      <c r="Q5" s="201">
        <v>1209</v>
      </c>
      <c r="R5" s="71">
        <v>480</v>
      </c>
      <c r="S5" s="71">
        <v>627</v>
      </c>
      <c r="T5" s="71">
        <v>1626</v>
      </c>
      <c r="U5" s="21">
        <f t="shared" si="0"/>
        <v>14932</v>
      </c>
      <c r="V5" s="254"/>
      <c r="W5" s="25"/>
      <c r="X5" s="21">
        <v>2.8299999999999999E-2</v>
      </c>
      <c r="Y5" s="25"/>
      <c r="AA5" s="109"/>
      <c r="AB5" s="91"/>
      <c r="AC5" s="91"/>
      <c r="AD5" s="91"/>
      <c r="AE5" s="91"/>
      <c r="AF5" s="91"/>
      <c r="AG5" s="91"/>
      <c r="AH5" s="91"/>
      <c r="AI5" s="91"/>
      <c r="AJ5" s="91"/>
      <c r="AK5" s="91"/>
      <c r="AL5" s="91"/>
      <c r="AM5" s="91"/>
      <c r="AN5" s="91"/>
      <c r="AO5" s="91"/>
      <c r="AP5" s="91"/>
      <c r="AQ5" s="91"/>
      <c r="AR5" s="91"/>
      <c r="AS5" s="91"/>
      <c r="AT5" s="91"/>
      <c r="AU5" s="91"/>
    </row>
    <row r="6" spans="1:47" x14ac:dyDescent="0.25">
      <c r="A6" s="335"/>
      <c r="B6" s="135">
        <v>2021</v>
      </c>
      <c r="C6" s="196">
        <v>24000</v>
      </c>
      <c r="D6" s="21">
        <f>(75%*C6)</f>
        <v>18000</v>
      </c>
      <c r="E6" s="4">
        <v>4.4999999999999997E-3</v>
      </c>
      <c r="F6" s="22">
        <f>(E6*D6)</f>
        <v>81</v>
      </c>
      <c r="G6" s="3">
        <v>0</v>
      </c>
      <c r="H6" s="22">
        <f>(G6*C6)</f>
        <v>0</v>
      </c>
      <c r="I6" s="247">
        <v>25</v>
      </c>
      <c r="J6" s="21">
        <v>41</v>
      </c>
      <c r="K6" s="21">
        <v>0</v>
      </c>
      <c r="L6" s="12"/>
      <c r="M6">
        <v>0</v>
      </c>
      <c r="N6">
        <v>0</v>
      </c>
      <c r="O6" s="21">
        <v>1510.4880000000001</v>
      </c>
      <c r="P6" s="3"/>
      <c r="Q6" s="202">
        <v>1245</v>
      </c>
      <c r="R6" s="21">
        <v>1258</v>
      </c>
      <c r="S6" s="21">
        <v>732</v>
      </c>
      <c r="T6" s="21">
        <v>1254</v>
      </c>
      <c r="U6" s="21">
        <f t="shared" si="0"/>
        <v>13678</v>
      </c>
      <c r="V6" s="254"/>
      <c r="W6" s="25"/>
      <c r="X6" s="21">
        <v>9.1999999999999998E-3</v>
      </c>
      <c r="Y6" s="25"/>
      <c r="AA6" s="109"/>
      <c r="AB6" s="109"/>
      <c r="AC6" s="109"/>
      <c r="AD6" s="91"/>
      <c r="AE6" s="91"/>
      <c r="AF6" s="91"/>
      <c r="AG6" s="91"/>
      <c r="AH6" s="91"/>
      <c r="AI6" s="91"/>
      <c r="AJ6" s="91"/>
      <c r="AK6" s="91"/>
      <c r="AL6" s="91"/>
      <c r="AM6" s="91"/>
      <c r="AN6" s="91"/>
      <c r="AO6" s="91"/>
      <c r="AP6" s="91"/>
      <c r="AQ6" s="91"/>
      <c r="AR6" s="91"/>
      <c r="AS6" s="91"/>
      <c r="AT6" s="91"/>
      <c r="AU6" s="91"/>
    </row>
    <row r="7" spans="1:47" s="221" customFormat="1" x14ac:dyDescent="0.25">
      <c r="A7" s="231"/>
      <c r="B7" s="231"/>
      <c r="C7" s="248"/>
      <c r="D7" s="220"/>
      <c r="E7" s="226"/>
      <c r="F7" s="252"/>
      <c r="G7" s="129"/>
      <c r="H7" s="130"/>
      <c r="I7" s="130"/>
      <c r="P7" s="129"/>
      <c r="Q7" s="255"/>
      <c r="R7" s="223"/>
      <c r="S7" s="223"/>
      <c r="T7" s="223"/>
      <c r="V7" s="255"/>
      <c r="W7" s="223"/>
      <c r="X7" s="223"/>
      <c r="Y7" s="223"/>
      <c r="Z7" s="262"/>
      <c r="AA7" s="172"/>
      <c r="AB7" s="172"/>
      <c r="AC7" s="172"/>
      <c r="AD7" s="223"/>
      <c r="AE7" s="223"/>
      <c r="AF7" s="223"/>
      <c r="AG7" s="223"/>
      <c r="AH7" s="223"/>
      <c r="AI7" s="223"/>
      <c r="AJ7" s="223"/>
      <c r="AK7" s="223"/>
      <c r="AL7" s="223"/>
      <c r="AM7" s="223"/>
      <c r="AN7" s="223"/>
      <c r="AO7" s="223"/>
      <c r="AP7" s="223"/>
      <c r="AQ7" s="223"/>
      <c r="AR7" s="223"/>
      <c r="AS7" s="223"/>
      <c r="AT7" s="223"/>
      <c r="AU7" s="223"/>
    </row>
    <row r="8" spans="1:47" ht="90" x14ac:dyDescent="0.25">
      <c r="A8" s="232" t="s">
        <v>55</v>
      </c>
      <c r="B8" s="238" t="s">
        <v>14</v>
      </c>
      <c r="C8" s="249" t="s">
        <v>0</v>
      </c>
      <c r="D8" s="249" t="s">
        <v>82</v>
      </c>
      <c r="E8" s="238" t="s">
        <v>83</v>
      </c>
      <c r="F8" s="253" t="s">
        <v>84</v>
      </c>
      <c r="G8" s="85" t="s">
        <v>90</v>
      </c>
      <c r="H8" s="239" t="s">
        <v>92</v>
      </c>
      <c r="I8" s="239" t="s">
        <v>95</v>
      </c>
      <c r="J8" s="29" t="s">
        <v>81</v>
      </c>
      <c r="K8" s="29" t="s">
        <v>94</v>
      </c>
      <c r="L8" s="240" t="s">
        <v>56</v>
      </c>
      <c r="M8" s="239" t="s">
        <v>5</v>
      </c>
      <c r="N8" s="187" t="s">
        <v>85</v>
      </c>
      <c r="O8" s="189" t="s">
        <v>43</v>
      </c>
      <c r="P8" s="187" t="s">
        <v>24</v>
      </c>
      <c r="Q8" s="190" t="s">
        <v>7</v>
      </c>
      <c r="R8" s="187" t="s">
        <v>45</v>
      </c>
      <c r="S8" s="189" t="s">
        <v>8</v>
      </c>
      <c r="T8" s="187" t="s">
        <v>25</v>
      </c>
      <c r="U8" s="186" t="s">
        <v>38</v>
      </c>
      <c r="V8" s="43" t="s">
        <v>37</v>
      </c>
      <c r="W8" s="42" t="s">
        <v>47</v>
      </c>
      <c r="X8" s="42" t="s">
        <v>48</v>
      </c>
      <c r="Y8" s="42" t="s">
        <v>49</v>
      </c>
      <c r="Z8" s="259" t="s">
        <v>39</v>
      </c>
      <c r="AA8" s="91"/>
      <c r="AB8" s="91"/>
      <c r="AC8" s="91"/>
      <c r="AD8" s="91"/>
      <c r="AE8" s="91"/>
      <c r="AF8" s="91"/>
      <c r="AG8" s="91"/>
      <c r="AH8" s="91"/>
      <c r="AI8" s="91"/>
      <c r="AJ8" s="91"/>
      <c r="AK8" s="91"/>
      <c r="AL8" s="91"/>
      <c r="AM8" s="91"/>
      <c r="AN8" s="91"/>
      <c r="AO8" s="91"/>
      <c r="AP8" s="91"/>
      <c r="AQ8" s="91"/>
      <c r="AR8" s="91"/>
      <c r="AS8" s="91"/>
      <c r="AT8" s="91"/>
      <c r="AU8" s="91"/>
    </row>
    <row r="9" spans="1:47" x14ac:dyDescent="0.25">
      <c r="A9" s="334" t="s">
        <v>32</v>
      </c>
      <c r="B9" s="241">
        <v>2017</v>
      </c>
      <c r="C9" s="214">
        <v>45000</v>
      </c>
      <c r="D9" s="96">
        <f>(75%*C9)</f>
        <v>33750</v>
      </c>
      <c r="E9" s="19">
        <v>2.1000000000000001E-2</v>
      </c>
      <c r="F9" s="96">
        <f>(E9*D9)</f>
        <v>708.75</v>
      </c>
      <c r="G9" s="19">
        <v>8.8099999999999998E-2</v>
      </c>
      <c r="H9" s="78">
        <f xml:space="preserve"> (G9*C9)</f>
        <v>3964.5</v>
      </c>
      <c r="I9" s="244"/>
      <c r="J9" s="78">
        <v>41</v>
      </c>
      <c r="K9" s="78">
        <v>7.2</v>
      </c>
      <c r="L9" s="78">
        <v>50</v>
      </c>
      <c r="M9" s="78">
        <v>8500</v>
      </c>
      <c r="N9" s="21">
        <v>5000</v>
      </c>
      <c r="O9" s="21">
        <v>492.88500000000005</v>
      </c>
      <c r="P9" s="22">
        <f>F9+F10+F11+F12+F13+J9+J10+J11+J12+J13+L9+L10+L11+L12+L13</f>
        <v>2530.625</v>
      </c>
      <c r="Q9" s="200">
        <v>1326</v>
      </c>
      <c r="R9" s="70">
        <v>247</v>
      </c>
      <c r="S9" s="70">
        <v>1537</v>
      </c>
      <c r="T9" s="70">
        <v>4651</v>
      </c>
      <c r="U9" s="21">
        <f>C9-T9</f>
        <v>40349</v>
      </c>
      <c r="V9" s="200">
        <f>C9+H9+K9-(M9+N9)</f>
        <v>35471.699999999997</v>
      </c>
      <c r="W9" s="70">
        <f>P9+(Q9+R9+S9)+Q10+R10+S10+Q11+R11+S11+Q12+R12+S12+Q13+R13+S13</f>
        <v>21915.625</v>
      </c>
      <c r="X9" s="34">
        <v>1.6299999999999999E-2</v>
      </c>
      <c r="Y9" s="115">
        <f>(1+0.02)*(1+0.02)*(1+0.03)*(1+0.03)*(1+0.01)</f>
        <v>1.1147979636000001</v>
      </c>
      <c r="Z9" s="260">
        <f>V9+((W9/Y2)-((C9-34393)/Y2))</f>
        <v>45615.80267083842</v>
      </c>
      <c r="AA9" s="5"/>
      <c r="AB9" s="5"/>
      <c r="AC9" s="5"/>
    </row>
    <row r="10" spans="1:47" x14ac:dyDescent="0.25">
      <c r="A10" s="328"/>
      <c r="B10" s="135">
        <v>2018</v>
      </c>
      <c r="C10" s="196">
        <v>45000</v>
      </c>
      <c r="D10" s="22">
        <f>(75%*C10)</f>
        <v>33750</v>
      </c>
      <c r="E10" s="4">
        <v>1.4999999999999999E-2</v>
      </c>
      <c r="F10" s="22">
        <f>(E10*D10)</f>
        <v>506.25</v>
      </c>
      <c r="G10">
        <v>0</v>
      </c>
      <c r="H10" s="21">
        <f xml:space="preserve"> (G10*C10)</f>
        <v>0</v>
      </c>
      <c r="I10" s="245"/>
      <c r="J10" s="21">
        <v>41</v>
      </c>
      <c r="K10" s="21">
        <v>0</v>
      </c>
      <c r="L10" s="21">
        <v>50</v>
      </c>
      <c r="M10" s="21">
        <v>0</v>
      </c>
      <c r="N10" s="21">
        <v>0</v>
      </c>
      <c r="O10" s="21">
        <v>492.07500000000005</v>
      </c>
      <c r="P10" s="3"/>
      <c r="Q10" s="201">
        <v>1366</v>
      </c>
      <c r="R10" s="71">
        <v>195</v>
      </c>
      <c r="S10" s="71">
        <v>1654</v>
      </c>
      <c r="T10" s="71">
        <v>1752</v>
      </c>
      <c r="U10" s="21">
        <f>U9-T10</f>
        <v>38597</v>
      </c>
      <c r="V10" s="254"/>
      <c r="W10" s="25"/>
      <c r="X10" s="21">
        <v>2.46E-2</v>
      </c>
      <c r="Y10" s="25"/>
      <c r="AA10" s="5"/>
    </row>
    <row r="11" spans="1:47" x14ac:dyDescent="0.25">
      <c r="A11" s="328"/>
      <c r="B11" s="135">
        <v>2019</v>
      </c>
      <c r="C11" s="196">
        <v>45000</v>
      </c>
      <c r="D11" s="22">
        <f>(75%*C11)</f>
        <v>33750</v>
      </c>
      <c r="E11" s="4">
        <v>1.2E-2</v>
      </c>
      <c r="F11" s="22">
        <f>(E11*D11)</f>
        <v>405</v>
      </c>
      <c r="G11">
        <v>0</v>
      </c>
      <c r="H11" s="21">
        <f xml:space="preserve"> (G11*C11)</f>
        <v>0</v>
      </c>
      <c r="I11" s="245"/>
      <c r="J11" s="21">
        <v>41</v>
      </c>
      <c r="K11" s="21">
        <v>0</v>
      </c>
      <c r="L11" s="21">
        <v>50</v>
      </c>
      <c r="M11" s="21">
        <v>0</v>
      </c>
      <c r="N11" s="21">
        <v>0</v>
      </c>
      <c r="O11" s="21">
        <v>493.29</v>
      </c>
      <c r="P11" s="3"/>
      <c r="Q11" s="201">
        <v>1407</v>
      </c>
      <c r="R11" s="71">
        <v>1770</v>
      </c>
      <c r="S11" s="71">
        <v>1779</v>
      </c>
      <c r="T11" s="71">
        <v>1544</v>
      </c>
      <c r="U11" s="21">
        <f t="shared" ref="U11:U13" si="1">U10-T11</f>
        <v>37053</v>
      </c>
      <c r="V11" s="254"/>
      <c r="W11" s="25"/>
      <c r="X11" s="21">
        <v>2.75E-2</v>
      </c>
      <c r="Y11" s="25"/>
      <c r="AA11" s="5"/>
    </row>
    <row r="12" spans="1:47" x14ac:dyDescent="0.25">
      <c r="A12" s="328"/>
      <c r="B12" s="135">
        <v>2020</v>
      </c>
      <c r="C12" s="196">
        <v>45000</v>
      </c>
      <c r="D12" s="22">
        <f>(75%*C12)</f>
        <v>33750</v>
      </c>
      <c r="E12" s="4">
        <v>8.9999999999999993E-3</v>
      </c>
      <c r="F12" s="22">
        <f>(E12*D12)</f>
        <v>303.75</v>
      </c>
      <c r="G12">
        <v>0</v>
      </c>
      <c r="H12" s="21">
        <f xml:space="preserve"> (G12*C12)</f>
        <v>0</v>
      </c>
      <c r="I12" s="245"/>
      <c r="J12" s="21">
        <v>41</v>
      </c>
      <c r="K12" s="21">
        <v>0</v>
      </c>
      <c r="L12" s="21">
        <v>50</v>
      </c>
      <c r="M12" s="21">
        <v>0</v>
      </c>
      <c r="N12" s="21">
        <v>0</v>
      </c>
      <c r="O12" s="21">
        <v>500.58000000000004</v>
      </c>
      <c r="P12" s="3"/>
      <c r="Q12" s="201">
        <v>1449</v>
      </c>
      <c r="R12" s="71">
        <v>167</v>
      </c>
      <c r="S12" s="71">
        <v>1912</v>
      </c>
      <c r="T12" s="71">
        <v>1456</v>
      </c>
      <c r="U12" s="21">
        <f t="shared" si="1"/>
        <v>35597</v>
      </c>
      <c r="V12" s="254"/>
      <c r="W12" s="25"/>
      <c r="X12" s="21">
        <v>2.8299999999999999E-2</v>
      </c>
      <c r="Y12" s="25"/>
      <c r="AA12" s="5"/>
    </row>
    <row r="13" spans="1:47" s="54" customFormat="1" x14ac:dyDescent="0.25">
      <c r="A13" s="335"/>
      <c r="B13" s="236">
        <v>2021</v>
      </c>
      <c r="C13" s="250">
        <v>45000</v>
      </c>
      <c r="D13" s="251">
        <f>(75%*C13)</f>
        <v>33750</v>
      </c>
      <c r="E13" s="65">
        <v>4.4999999999999997E-3</v>
      </c>
      <c r="F13" s="251">
        <f>(E13*D13)</f>
        <v>151.875</v>
      </c>
      <c r="G13" s="54">
        <v>0</v>
      </c>
      <c r="H13" s="50">
        <f xml:space="preserve"> (G13*C13)</f>
        <v>0</v>
      </c>
      <c r="I13" s="246"/>
      <c r="J13" s="50">
        <v>41</v>
      </c>
      <c r="K13" s="50">
        <v>0</v>
      </c>
      <c r="L13" s="50">
        <v>50</v>
      </c>
      <c r="M13" s="50">
        <v>0</v>
      </c>
      <c r="N13" s="50">
        <v>0</v>
      </c>
      <c r="O13" s="50">
        <v>529.33500000000015</v>
      </c>
      <c r="P13" s="63"/>
      <c r="Q13" s="202">
        <v>1492</v>
      </c>
      <c r="R13" s="50">
        <v>1032</v>
      </c>
      <c r="S13" s="50">
        <v>2052</v>
      </c>
      <c r="T13" s="50">
        <v>1204</v>
      </c>
      <c r="U13" s="102">
        <f t="shared" si="1"/>
        <v>34393</v>
      </c>
      <c r="V13" s="257"/>
      <c r="W13" s="27"/>
      <c r="X13" s="50">
        <v>9.1999999999999998E-3</v>
      </c>
      <c r="Y13" s="27"/>
      <c r="Z13" s="263"/>
      <c r="AA13" s="64"/>
      <c r="AB13" s="64"/>
      <c r="AC13" s="64"/>
    </row>
    <row r="14" spans="1:47" x14ac:dyDescent="0.25">
      <c r="A14" s="211"/>
      <c r="B14" s="211"/>
      <c r="C14" s="2"/>
      <c r="D14" s="3"/>
      <c r="E14" s="4"/>
      <c r="F14" s="3"/>
      <c r="P14" s="3"/>
      <c r="Q14" s="254"/>
      <c r="R14" s="25"/>
      <c r="S14" s="25"/>
      <c r="T14" s="25"/>
      <c r="V14" s="254"/>
      <c r="W14" s="25"/>
      <c r="X14" s="25"/>
      <c r="Y14" s="25"/>
      <c r="AA14" s="5"/>
      <c r="AB14" s="5"/>
      <c r="AC14" s="5"/>
    </row>
    <row r="15" spans="1:47" x14ac:dyDescent="0.25">
      <c r="A15" s="58" t="s">
        <v>31</v>
      </c>
      <c r="B15" s="235" t="s">
        <v>86</v>
      </c>
      <c r="C15" s="2"/>
      <c r="D15" s="3"/>
      <c r="E15" s="4"/>
      <c r="F15" s="3"/>
      <c r="P15" s="3"/>
      <c r="Q15" s="254"/>
      <c r="R15" s="25"/>
      <c r="S15" s="25"/>
      <c r="T15" s="25"/>
      <c r="V15" s="254"/>
      <c r="W15" s="25"/>
      <c r="X15" s="25"/>
      <c r="Y15" s="25"/>
      <c r="AA15" s="5"/>
      <c r="AB15" s="5"/>
      <c r="AC15" s="5"/>
    </row>
    <row r="16" spans="1:47" x14ac:dyDescent="0.25">
      <c r="A16" s="58"/>
      <c r="B16" s="235" t="s">
        <v>87</v>
      </c>
      <c r="C16" s="2"/>
      <c r="D16" s="3"/>
      <c r="E16" s="237"/>
      <c r="F16" s="3"/>
      <c r="P16" s="3"/>
      <c r="Q16" s="254"/>
      <c r="R16" s="25"/>
      <c r="S16" s="25"/>
      <c r="T16" s="25"/>
      <c r="V16" s="254"/>
      <c r="W16" s="25"/>
      <c r="X16" s="25"/>
      <c r="Y16" s="25"/>
      <c r="AA16" s="5"/>
      <c r="AB16" s="5"/>
      <c r="AC16" s="5"/>
    </row>
    <row r="17" spans="1:29" x14ac:dyDescent="0.25">
      <c r="A17" s="28"/>
      <c r="B17" s="235" t="s">
        <v>96</v>
      </c>
      <c r="C17" s="2"/>
      <c r="D17" s="3"/>
      <c r="E17" s="4"/>
      <c r="F17" s="3"/>
      <c r="P17" s="3"/>
      <c r="Q17" s="254"/>
      <c r="R17" s="25"/>
      <c r="S17" s="25"/>
      <c r="T17" s="25"/>
      <c r="V17" s="254"/>
      <c r="W17" s="25"/>
      <c r="X17" s="25"/>
      <c r="Y17" s="25"/>
      <c r="AA17" s="5"/>
      <c r="AB17" s="5"/>
      <c r="AC17" s="5"/>
    </row>
    <row r="18" spans="1:29" x14ac:dyDescent="0.25">
      <c r="A18" s="28"/>
      <c r="B18" s="235"/>
      <c r="C18" s="2"/>
      <c r="D18" s="3"/>
      <c r="E18" s="4"/>
      <c r="F18" s="3"/>
      <c r="P18" s="3"/>
      <c r="Q18" s="254"/>
      <c r="R18" s="25"/>
      <c r="S18" s="25"/>
      <c r="T18" s="25"/>
      <c r="V18" s="254"/>
      <c r="W18" s="25"/>
      <c r="X18" s="25"/>
      <c r="Y18" s="25"/>
      <c r="AA18" s="5"/>
      <c r="AB18" s="5"/>
      <c r="AC18" s="5"/>
    </row>
    <row r="19" spans="1:29" x14ac:dyDescent="0.25">
      <c r="A19" s="58" t="s">
        <v>15</v>
      </c>
      <c r="B19" s="243" t="s">
        <v>88</v>
      </c>
      <c r="C19" s="2"/>
      <c r="D19" s="3"/>
      <c r="E19" s="4"/>
      <c r="F19" s="3"/>
      <c r="P19" s="3"/>
      <c r="Q19" s="254"/>
      <c r="R19" s="25"/>
      <c r="S19" s="25"/>
      <c r="T19" s="25"/>
      <c r="V19" s="254"/>
      <c r="W19" s="25"/>
      <c r="X19" s="25"/>
      <c r="Y19" s="25"/>
      <c r="AA19" s="5"/>
      <c r="AB19" s="5"/>
      <c r="AC19" s="5"/>
    </row>
    <row r="20" spans="1:29" s="91" customFormat="1" x14ac:dyDescent="0.25">
      <c r="A20" s="230"/>
      <c r="B20" s="242" t="s">
        <v>93</v>
      </c>
      <c r="C20" s="230"/>
      <c r="D20" s="230"/>
      <c r="E20" s="230"/>
      <c r="F20" s="230"/>
      <c r="G20" s="230"/>
      <c r="H20" s="230"/>
      <c r="I20" s="230"/>
      <c r="J20" s="230"/>
      <c r="K20" s="230"/>
      <c r="L20" s="230"/>
      <c r="M20" s="230"/>
      <c r="N20" s="230"/>
      <c r="O20" s="230"/>
      <c r="P20" s="230"/>
      <c r="Q20" s="256"/>
      <c r="R20" s="230"/>
      <c r="S20" s="230"/>
      <c r="T20" s="230"/>
      <c r="U20" s="230"/>
      <c r="V20" s="256"/>
      <c r="W20" s="230"/>
      <c r="X20" s="230"/>
      <c r="Y20" s="230"/>
      <c r="Z20" s="264"/>
      <c r="AA20" s="230"/>
      <c r="AB20" s="230"/>
      <c r="AC20" s="230"/>
    </row>
    <row r="21" spans="1:29" x14ac:dyDescent="0.25">
      <c r="A21" s="228"/>
      <c r="B21" t="s">
        <v>89</v>
      </c>
    </row>
    <row r="22" spans="1:29" x14ac:dyDescent="0.25">
      <c r="A22" s="229"/>
      <c r="B22" t="s">
        <v>97</v>
      </c>
    </row>
    <row r="23" spans="1:29" x14ac:dyDescent="0.25">
      <c r="B23" t="s">
        <v>98</v>
      </c>
    </row>
  </sheetData>
  <mergeCells count="2">
    <mergeCell ref="A2:A6"/>
    <mergeCell ref="A9:A13"/>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2876C-97E7-4969-B445-1D3064B3D0CC}">
  <dimension ref="A1:W21"/>
  <sheetViews>
    <sheetView topLeftCell="F1" workbookViewId="0">
      <selection activeCell="W9" sqref="W9"/>
    </sheetView>
  </sheetViews>
  <sheetFormatPr baseColWidth="10" defaultRowHeight="15" x14ac:dyDescent="0.25"/>
  <cols>
    <col min="8" max="8" width="13" customWidth="1"/>
    <col min="23" max="23" width="11.42578125" style="261"/>
  </cols>
  <sheetData>
    <row r="1" spans="1:23" ht="105" x14ac:dyDescent="0.25">
      <c r="A1" s="232" t="s">
        <v>55</v>
      </c>
      <c r="B1" s="29" t="s">
        <v>14</v>
      </c>
      <c r="C1" s="29" t="s">
        <v>0</v>
      </c>
      <c r="D1" s="29" t="s">
        <v>160</v>
      </c>
      <c r="E1" s="29" t="s">
        <v>161</v>
      </c>
      <c r="F1" s="29" t="s">
        <v>154</v>
      </c>
      <c r="G1" s="29" t="s">
        <v>156</v>
      </c>
      <c r="H1" s="29" t="s">
        <v>162</v>
      </c>
      <c r="I1" s="41" t="s">
        <v>56</v>
      </c>
      <c r="J1" s="29" t="s">
        <v>5</v>
      </c>
      <c r="K1" s="29" t="s">
        <v>6</v>
      </c>
      <c r="L1" s="170" t="s">
        <v>34</v>
      </c>
      <c r="M1" s="99" t="s">
        <v>24</v>
      </c>
      <c r="N1" s="29" t="s">
        <v>7</v>
      </c>
      <c r="O1" s="29" t="s">
        <v>45</v>
      </c>
      <c r="P1" s="29" t="s">
        <v>8</v>
      </c>
      <c r="Q1" s="29" t="s">
        <v>46</v>
      </c>
      <c r="R1" s="99" t="s">
        <v>38</v>
      </c>
      <c r="S1" s="43" t="s">
        <v>37</v>
      </c>
      <c r="T1" s="42" t="s">
        <v>47</v>
      </c>
      <c r="U1" s="42" t="s">
        <v>48</v>
      </c>
      <c r="V1" s="42" t="s">
        <v>49</v>
      </c>
      <c r="W1" s="259" t="s">
        <v>39</v>
      </c>
    </row>
    <row r="2" spans="1:23" ht="15" customHeight="1" x14ac:dyDescent="0.25">
      <c r="A2" s="334" t="s">
        <v>17</v>
      </c>
      <c r="B2" s="131">
        <v>2017</v>
      </c>
      <c r="C2" s="301">
        <v>24000</v>
      </c>
      <c r="D2" s="305">
        <f>(4.225+4.625)/100</f>
        <v>8.8499999999999995E-2</v>
      </c>
      <c r="E2" s="96">
        <f>C2*D2</f>
        <v>2124</v>
      </c>
      <c r="F2" s="115">
        <v>114.5</v>
      </c>
      <c r="G2" s="115">
        <v>14.5</v>
      </c>
      <c r="H2" s="115">
        <v>24</v>
      </c>
      <c r="I2" s="133">
        <v>0</v>
      </c>
      <c r="J2" s="144">
        <v>0</v>
      </c>
      <c r="K2" s="133">
        <v>0</v>
      </c>
      <c r="L2" s="150">
        <v>1101.2309999999998</v>
      </c>
      <c r="M2" s="115">
        <f>F2+F4+F6+(5*24)</f>
        <v>406.25</v>
      </c>
      <c r="N2" s="200">
        <v>733</v>
      </c>
      <c r="O2" s="78">
        <v>805</v>
      </c>
      <c r="P2" s="78">
        <v>340</v>
      </c>
      <c r="Q2" s="78">
        <v>4945</v>
      </c>
      <c r="R2" s="115">
        <f>C2-Q2</f>
        <v>19055</v>
      </c>
      <c r="S2" s="165">
        <f>C2+E2+G2</f>
        <v>26138.5</v>
      </c>
      <c r="T2" s="115">
        <f>M2+L2+N2+O2+P2+L3+N3+O3+P3+L4+N4+O4+P4+L5+N5+O5+P5+L6+N6+O6+P6</f>
        <v>16809.355</v>
      </c>
      <c r="U2" s="34">
        <v>1.6299999999999999E-2</v>
      </c>
      <c r="V2" s="115">
        <f>(1+0.02)*(1+0.02)*(1+0.03)*(1+0.03)*(1+0.01)</f>
        <v>1.1147979636000001</v>
      </c>
      <c r="W2" s="265">
        <f>S2+((T2/V2)-((C2-13383)/V2))</f>
        <v>31693.188115865516</v>
      </c>
    </row>
    <row r="3" spans="1:23" x14ac:dyDescent="0.25">
      <c r="A3" s="328"/>
      <c r="B3" s="135">
        <v>2018</v>
      </c>
      <c r="C3" s="302"/>
      <c r="D3" s="22"/>
      <c r="E3" s="22"/>
      <c r="F3" s="118">
        <v>0</v>
      </c>
      <c r="G3" s="118">
        <v>0</v>
      </c>
      <c r="H3" s="128">
        <v>24</v>
      </c>
      <c r="I3" s="137">
        <v>0</v>
      </c>
      <c r="J3" s="145">
        <v>0</v>
      </c>
      <c r="K3" s="137">
        <v>0</v>
      </c>
      <c r="L3" s="151">
        <v>1256.0759999999998</v>
      </c>
      <c r="M3" s="153"/>
      <c r="N3" s="201">
        <v>755</v>
      </c>
      <c r="O3" s="21">
        <v>302</v>
      </c>
      <c r="P3" s="21">
        <v>396</v>
      </c>
      <c r="Q3" s="21">
        <v>990</v>
      </c>
      <c r="R3" s="118">
        <f>R2-Q3</f>
        <v>18065</v>
      </c>
      <c r="S3" s="166"/>
      <c r="T3" s="116"/>
      <c r="U3" s="21">
        <v>2.46E-2</v>
      </c>
      <c r="V3" s="25"/>
      <c r="W3" s="266"/>
    </row>
    <row r="4" spans="1:23" x14ac:dyDescent="0.25">
      <c r="A4" s="328"/>
      <c r="B4" s="135">
        <v>2019</v>
      </c>
      <c r="C4" s="302"/>
      <c r="D4" s="22"/>
      <c r="E4" s="22"/>
      <c r="F4" s="128">
        <v>114.5</v>
      </c>
      <c r="G4" s="118">
        <v>0</v>
      </c>
      <c r="H4" s="128">
        <v>24</v>
      </c>
      <c r="I4" s="137">
        <v>0</v>
      </c>
      <c r="J4" s="145">
        <v>0</v>
      </c>
      <c r="K4" s="137">
        <v>0</v>
      </c>
      <c r="L4" s="151">
        <v>1180.5959999999998</v>
      </c>
      <c r="M4" s="153"/>
      <c r="N4" s="201">
        <v>778</v>
      </c>
      <c r="O4" s="21">
        <v>1742</v>
      </c>
      <c r="P4" s="21">
        <v>461</v>
      </c>
      <c r="Q4" s="21">
        <v>1719</v>
      </c>
      <c r="R4" s="118">
        <f t="shared" ref="R4:R6" si="0">R3-Q4</f>
        <v>16346</v>
      </c>
      <c r="S4" s="166"/>
      <c r="T4" s="116"/>
      <c r="U4" s="21">
        <v>2.75E-2</v>
      </c>
      <c r="V4" s="25"/>
      <c r="W4" s="266"/>
    </row>
    <row r="5" spans="1:23" x14ac:dyDescent="0.25">
      <c r="A5" s="328"/>
      <c r="B5" s="135">
        <v>2020</v>
      </c>
      <c r="C5" s="302"/>
      <c r="D5" s="22"/>
      <c r="E5" s="22"/>
      <c r="F5" s="118">
        <v>0</v>
      </c>
      <c r="G5" s="118">
        <v>0</v>
      </c>
      <c r="H5" s="128">
        <v>24</v>
      </c>
      <c r="I5" s="137">
        <v>0</v>
      </c>
      <c r="J5" s="145">
        <v>0</v>
      </c>
      <c r="K5" s="137">
        <v>0</v>
      </c>
      <c r="L5" s="151">
        <v>873.12599999999998</v>
      </c>
      <c r="M5" s="153"/>
      <c r="N5" s="201">
        <v>801</v>
      </c>
      <c r="O5" s="21">
        <v>420</v>
      </c>
      <c r="P5" s="21">
        <v>537</v>
      </c>
      <c r="Q5" s="21">
        <v>1673</v>
      </c>
      <c r="R5" s="118">
        <f t="shared" si="0"/>
        <v>14673</v>
      </c>
      <c r="S5" s="166"/>
      <c r="T5" s="116"/>
      <c r="U5" s="21">
        <v>2.8299999999999999E-2</v>
      </c>
      <c r="V5" s="25"/>
      <c r="W5" s="266"/>
    </row>
    <row r="6" spans="1:23" x14ac:dyDescent="0.25">
      <c r="A6" s="335"/>
      <c r="B6" s="135">
        <v>2021</v>
      </c>
      <c r="C6" s="302"/>
      <c r="D6" s="22"/>
      <c r="E6" s="22"/>
      <c r="F6" s="118">
        <v>57.25</v>
      </c>
      <c r="G6" s="118">
        <v>0</v>
      </c>
      <c r="H6" s="128">
        <v>24</v>
      </c>
      <c r="I6" s="137">
        <v>0</v>
      </c>
      <c r="J6" s="145">
        <v>0</v>
      </c>
      <c r="K6" s="137">
        <v>0</v>
      </c>
      <c r="L6" s="151">
        <v>1367.076</v>
      </c>
      <c r="M6" s="154"/>
      <c r="N6" s="311">
        <v>825</v>
      </c>
      <c r="O6" s="21">
        <v>1106</v>
      </c>
      <c r="P6" s="21">
        <v>624</v>
      </c>
      <c r="Q6" s="21">
        <v>1290</v>
      </c>
      <c r="R6" s="118">
        <f t="shared" si="0"/>
        <v>13383</v>
      </c>
      <c r="S6" s="167"/>
      <c r="T6" s="116"/>
      <c r="U6" s="21">
        <v>9.1999999999999998E-3</v>
      </c>
      <c r="V6" s="25"/>
      <c r="W6" s="266"/>
    </row>
    <row r="7" spans="1:23" x14ac:dyDescent="0.25">
      <c r="A7" s="231"/>
      <c r="B7" s="138"/>
      <c r="C7" s="139"/>
      <c r="D7" s="129"/>
      <c r="E7" s="130"/>
      <c r="F7" s="140"/>
      <c r="G7" s="140"/>
      <c r="H7" s="140"/>
      <c r="I7" s="140"/>
      <c r="J7" s="141"/>
      <c r="K7" s="140"/>
      <c r="L7" s="148"/>
      <c r="M7" s="140"/>
      <c r="N7" s="155"/>
      <c r="O7" s="142"/>
      <c r="P7" s="142"/>
      <c r="Q7" s="142"/>
      <c r="R7" s="140"/>
      <c r="S7" s="164"/>
      <c r="T7" s="140"/>
      <c r="U7" s="143"/>
      <c r="V7" s="140"/>
      <c r="W7" s="267"/>
    </row>
    <row r="8" spans="1:23" ht="105" x14ac:dyDescent="0.25">
      <c r="A8" s="232" t="s">
        <v>55</v>
      </c>
      <c r="B8" s="69" t="s">
        <v>14</v>
      </c>
      <c r="C8" s="69" t="s">
        <v>0</v>
      </c>
      <c r="D8" s="29" t="s">
        <v>160</v>
      </c>
      <c r="E8" s="29" t="s">
        <v>161</v>
      </c>
      <c r="F8" s="29" t="s">
        <v>154</v>
      </c>
      <c r="G8" s="29" t="s">
        <v>156</v>
      </c>
      <c r="H8" s="29" t="s">
        <v>163</v>
      </c>
      <c r="I8" s="168" t="s">
        <v>56</v>
      </c>
      <c r="J8" s="69" t="s">
        <v>5</v>
      </c>
      <c r="K8" s="69" t="s">
        <v>6</v>
      </c>
      <c r="L8" s="169" t="s">
        <v>43</v>
      </c>
      <c r="M8" s="100" t="s">
        <v>24</v>
      </c>
      <c r="N8" s="69" t="s">
        <v>7</v>
      </c>
      <c r="O8" s="69" t="s">
        <v>45</v>
      </c>
      <c r="P8" s="69" t="s">
        <v>8</v>
      </c>
      <c r="Q8" s="69" t="s">
        <v>46</v>
      </c>
      <c r="R8" s="100" t="s">
        <v>38</v>
      </c>
      <c r="S8" s="43" t="s">
        <v>37</v>
      </c>
      <c r="T8" s="42" t="s">
        <v>47</v>
      </c>
      <c r="U8" s="42" t="s">
        <v>48</v>
      </c>
      <c r="V8" s="42" t="s">
        <v>49</v>
      </c>
      <c r="W8" s="259" t="s">
        <v>39</v>
      </c>
    </row>
    <row r="9" spans="1:23" ht="15" customHeight="1" x14ac:dyDescent="0.25">
      <c r="A9" s="334" t="s">
        <v>32</v>
      </c>
      <c r="B9" s="131">
        <v>2017</v>
      </c>
      <c r="C9" s="301">
        <v>45000</v>
      </c>
      <c r="D9" s="305">
        <f>(4.225+4.625)/100</f>
        <v>8.8499999999999995E-2</v>
      </c>
      <c r="E9" s="115">
        <f>C9*D9</f>
        <v>3982.5</v>
      </c>
      <c r="F9" s="115">
        <v>114.5</v>
      </c>
      <c r="G9" s="115">
        <v>14.5</v>
      </c>
      <c r="H9" s="133"/>
      <c r="I9" s="133">
        <v>0</v>
      </c>
      <c r="J9" s="158">
        <v>8500</v>
      </c>
      <c r="K9" s="133">
        <v>0</v>
      </c>
      <c r="L9" s="150">
        <v>471.01500000000004</v>
      </c>
      <c r="M9" s="157">
        <f>F9+F11+F13</f>
        <v>286.25</v>
      </c>
      <c r="N9" s="77">
        <v>1125</v>
      </c>
      <c r="O9" s="78">
        <v>208</v>
      </c>
      <c r="P9" s="78">
        <v>1234</v>
      </c>
      <c r="Q9" s="78">
        <v>4673</v>
      </c>
      <c r="R9" s="115">
        <f>C9-Q9</f>
        <v>40327</v>
      </c>
      <c r="S9" s="165">
        <f>C9+E9+G9-J9</f>
        <v>40497</v>
      </c>
      <c r="T9" s="115">
        <f>M9+L9+N9+O9+P9+L10+N10+O10+P10+L11+N11+O11+P11+L12+N12+O12+P12+L13+N13+O13+P13</f>
        <v>18744.625</v>
      </c>
      <c r="U9" s="34">
        <v>1.6299999999999999E-2</v>
      </c>
      <c r="V9" s="115">
        <f>(1+0.02)*(1+0.02)*(1+0.03)*(1+0.03)*(1+0.01)</f>
        <v>1.1147979636000001</v>
      </c>
      <c r="W9" s="265">
        <f>S9+((T9/V2)-((C9-34342)/V2))</f>
        <v>47750.892870315249</v>
      </c>
    </row>
    <row r="10" spans="1:23" x14ac:dyDescent="0.25">
      <c r="A10" s="328"/>
      <c r="B10" s="135">
        <v>2018</v>
      </c>
      <c r="C10" s="302"/>
      <c r="D10" s="118"/>
      <c r="E10" s="118"/>
      <c r="F10" s="118">
        <v>0</v>
      </c>
      <c r="G10" s="118">
        <v>0</v>
      </c>
      <c r="H10" s="137"/>
      <c r="I10" s="137">
        <v>0</v>
      </c>
      <c r="J10" s="57">
        <v>0</v>
      </c>
      <c r="K10" s="137">
        <v>0</v>
      </c>
      <c r="L10" s="152">
        <v>459.27000000000004</v>
      </c>
      <c r="M10" s="146"/>
      <c r="N10" s="21">
        <v>1159</v>
      </c>
      <c r="O10" s="21">
        <v>158</v>
      </c>
      <c r="P10" s="21">
        <v>1322</v>
      </c>
      <c r="Q10" s="21">
        <v>1760</v>
      </c>
      <c r="R10" s="118">
        <f>R9-Q10</f>
        <v>38567</v>
      </c>
      <c r="S10" s="166"/>
      <c r="T10" s="116"/>
      <c r="U10" s="21">
        <v>2.46E-2</v>
      </c>
      <c r="V10" s="25"/>
      <c r="W10" s="266"/>
    </row>
    <row r="11" spans="1:23" x14ac:dyDescent="0.25">
      <c r="A11" s="328"/>
      <c r="B11" s="135">
        <v>2019</v>
      </c>
      <c r="C11" s="302"/>
      <c r="D11" s="118"/>
      <c r="E11" s="118"/>
      <c r="F11" s="128">
        <v>114.5</v>
      </c>
      <c r="G11" s="118">
        <v>0</v>
      </c>
      <c r="H11" s="137"/>
      <c r="I11" s="137">
        <v>0</v>
      </c>
      <c r="J11" s="57">
        <v>0</v>
      </c>
      <c r="K11" s="137">
        <v>0</v>
      </c>
      <c r="L11" s="151">
        <v>451.17</v>
      </c>
      <c r="M11" s="146"/>
      <c r="N11" s="21">
        <v>1194</v>
      </c>
      <c r="O11" s="21">
        <v>1665</v>
      </c>
      <c r="P11" s="21">
        <v>1416</v>
      </c>
      <c r="Q11" s="21">
        <v>1552</v>
      </c>
      <c r="R11" s="118">
        <f t="shared" ref="R11:R13" si="1">R10-Q11</f>
        <v>37015</v>
      </c>
      <c r="S11" s="166"/>
      <c r="T11" s="116"/>
      <c r="U11" s="21">
        <v>2.75E-2</v>
      </c>
      <c r="V11" s="25"/>
      <c r="W11" s="266"/>
    </row>
    <row r="12" spans="1:23" x14ac:dyDescent="0.25">
      <c r="A12" s="328"/>
      <c r="B12" s="135">
        <v>2020</v>
      </c>
      <c r="C12" s="302"/>
      <c r="D12" s="118"/>
      <c r="E12" s="118"/>
      <c r="F12" s="118">
        <v>0</v>
      </c>
      <c r="G12" s="118">
        <v>0</v>
      </c>
      <c r="H12" s="137"/>
      <c r="I12" s="137">
        <v>0</v>
      </c>
      <c r="J12" s="57">
        <v>0</v>
      </c>
      <c r="K12" s="137">
        <v>0</v>
      </c>
      <c r="L12" s="152">
        <v>454.41</v>
      </c>
      <c r="M12" s="146"/>
      <c r="N12" s="21">
        <v>1229</v>
      </c>
      <c r="O12" s="21">
        <v>137</v>
      </c>
      <c r="P12" s="21">
        <v>1517</v>
      </c>
      <c r="Q12" s="21">
        <v>1463</v>
      </c>
      <c r="R12" s="118">
        <f t="shared" si="1"/>
        <v>35552</v>
      </c>
      <c r="S12" s="166"/>
      <c r="T12" s="116"/>
      <c r="U12" s="21">
        <v>2.8299999999999999E-2</v>
      </c>
      <c r="V12" s="25"/>
      <c r="W12" s="266"/>
    </row>
    <row r="13" spans="1:23" x14ac:dyDescent="0.25">
      <c r="A13" s="335"/>
      <c r="B13" s="135">
        <v>2021</v>
      </c>
      <c r="C13" s="302"/>
      <c r="D13" s="118"/>
      <c r="E13" s="118"/>
      <c r="F13" s="118">
        <v>57.25</v>
      </c>
      <c r="G13" s="118">
        <v>0</v>
      </c>
      <c r="H13" s="137"/>
      <c r="I13" s="137">
        <v>0</v>
      </c>
      <c r="J13" s="57">
        <v>0</v>
      </c>
      <c r="K13" s="137">
        <v>0</v>
      </c>
      <c r="L13" s="151">
        <v>462.51000000000005</v>
      </c>
      <c r="M13" s="147"/>
      <c r="N13" s="21">
        <v>1266</v>
      </c>
      <c r="O13" s="21">
        <v>909</v>
      </c>
      <c r="P13" s="21">
        <v>1621</v>
      </c>
      <c r="Q13" s="21">
        <v>1210</v>
      </c>
      <c r="R13" s="118">
        <f t="shared" si="1"/>
        <v>34342</v>
      </c>
      <c r="S13" s="167"/>
      <c r="T13" s="116"/>
      <c r="U13" s="21">
        <v>9.1999999999999998E-3</v>
      </c>
      <c r="V13" s="25"/>
      <c r="W13" s="266"/>
    </row>
    <row r="14" spans="1:23" x14ac:dyDescent="0.25">
      <c r="A14" s="24"/>
      <c r="B14" s="24"/>
      <c r="C14" s="24"/>
      <c r="D14" s="24"/>
      <c r="E14" s="24"/>
      <c r="F14" s="24"/>
      <c r="G14" s="24"/>
      <c r="H14" s="24"/>
      <c r="I14" s="24"/>
      <c r="J14" s="24"/>
      <c r="K14" s="24"/>
      <c r="L14" s="24"/>
      <c r="M14" s="24"/>
      <c r="N14" s="24"/>
      <c r="O14" s="24"/>
      <c r="P14" s="24"/>
      <c r="Q14" s="24"/>
      <c r="R14" s="24"/>
      <c r="S14" s="24"/>
      <c r="T14" s="24"/>
      <c r="U14" s="24"/>
      <c r="V14" s="24"/>
      <c r="W14" s="268"/>
    </row>
    <row r="15" spans="1:23" x14ac:dyDescent="0.25">
      <c r="A15" s="58" t="s">
        <v>31</v>
      </c>
      <c r="B15" s="116" t="s">
        <v>99</v>
      </c>
    </row>
    <row r="16" spans="1:23" x14ac:dyDescent="0.25">
      <c r="A16" s="58"/>
      <c r="B16" t="s">
        <v>153</v>
      </c>
    </row>
    <row r="17" spans="1:2" x14ac:dyDescent="0.25">
      <c r="A17" s="28"/>
      <c r="B17" t="s">
        <v>159</v>
      </c>
    </row>
    <row r="18" spans="1:2" x14ac:dyDescent="0.25">
      <c r="A18" s="28"/>
    </row>
    <row r="19" spans="1:2" x14ac:dyDescent="0.25">
      <c r="A19" s="58" t="s">
        <v>15</v>
      </c>
      <c r="B19" t="s">
        <v>155</v>
      </c>
    </row>
    <row r="20" spans="1:2" x14ac:dyDescent="0.25">
      <c r="B20" s="20" t="s">
        <v>157</v>
      </c>
    </row>
    <row r="21" spans="1:2" x14ac:dyDescent="0.25">
      <c r="B21" t="s">
        <v>158</v>
      </c>
    </row>
  </sheetData>
  <mergeCells count="2">
    <mergeCell ref="A2:A6"/>
    <mergeCell ref="A9:A13"/>
  </mergeCells>
  <hyperlinks>
    <hyperlink ref="B20" r:id="rId1" xr:uid="{987E9E66-4DE2-4766-BCCA-4091C40D9744}"/>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B04C0-1A6D-4136-B121-900B985CAC0A}">
  <dimension ref="A1:AA20"/>
  <sheetViews>
    <sheetView zoomScale="80" zoomScaleNormal="80" workbookViewId="0">
      <selection activeCell="AA9" sqref="AA9"/>
    </sheetView>
  </sheetViews>
  <sheetFormatPr baseColWidth="10" defaultRowHeight="15" x14ac:dyDescent="0.25"/>
  <cols>
    <col min="3" max="3" width="13.28515625" customWidth="1"/>
    <col min="8" max="8" width="14.140625" customWidth="1"/>
    <col min="12" max="12" width="12.28515625" customWidth="1"/>
    <col min="17" max="17" width="12" customWidth="1"/>
    <col min="21" max="21" width="12.85546875" customWidth="1"/>
    <col min="23" max="23" width="16.42578125" customWidth="1"/>
    <col min="24" max="24" width="13.85546875" customWidth="1"/>
    <col min="27" max="27" width="13.7109375" style="261" customWidth="1"/>
  </cols>
  <sheetData>
    <row r="1" spans="1:27" s="54" customFormat="1" ht="90" x14ac:dyDescent="0.25">
      <c r="A1" s="186" t="s">
        <v>55</v>
      </c>
      <c r="B1" s="187" t="s">
        <v>14</v>
      </c>
      <c r="C1" s="187" t="s">
        <v>111</v>
      </c>
      <c r="D1" s="233" t="s">
        <v>0</v>
      </c>
      <c r="E1" s="277" t="s">
        <v>110</v>
      </c>
      <c r="F1" s="187" t="s">
        <v>112</v>
      </c>
      <c r="G1" s="67" t="s">
        <v>101</v>
      </c>
      <c r="H1" s="187" t="s">
        <v>100</v>
      </c>
      <c r="I1" s="187" t="s">
        <v>102</v>
      </c>
      <c r="J1" s="187" t="s">
        <v>113</v>
      </c>
      <c r="K1" s="187" t="s">
        <v>114</v>
      </c>
      <c r="L1" s="187" t="s">
        <v>70</v>
      </c>
      <c r="M1" s="188" t="s">
        <v>56</v>
      </c>
      <c r="N1" s="187" t="s">
        <v>5</v>
      </c>
      <c r="O1" s="187" t="s">
        <v>6</v>
      </c>
      <c r="P1" s="189" t="s">
        <v>34</v>
      </c>
      <c r="Q1" s="187" t="s">
        <v>24</v>
      </c>
      <c r="R1" s="190" t="s">
        <v>7</v>
      </c>
      <c r="S1" s="187" t="s">
        <v>45</v>
      </c>
      <c r="T1" s="189" t="s">
        <v>8</v>
      </c>
      <c r="U1" s="187" t="s">
        <v>25</v>
      </c>
      <c r="V1" s="186" t="s">
        <v>38</v>
      </c>
      <c r="W1" s="271" t="s">
        <v>37</v>
      </c>
      <c r="X1" s="272" t="s">
        <v>47</v>
      </c>
      <c r="Y1" s="272" t="s">
        <v>48</v>
      </c>
      <c r="Z1" s="272" t="s">
        <v>49</v>
      </c>
      <c r="AA1" s="273" t="s">
        <v>39</v>
      </c>
    </row>
    <row r="2" spans="1:27" ht="15" customHeight="1" x14ac:dyDescent="0.25">
      <c r="A2" s="331" t="s">
        <v>17</v>
      </c>
      <c r="B2" s="213">
        <v>2017</v>
      </c>
      <c r="C2" s="269">
        <v>1</v>
      </c>
      <c r="D2" s="2">
        <v>24000</v>
      </c>
      <c r="E2" s="2">
        <f>(0.65/100)</f>
        <v>6.5000000000000006E-3</v>
      </c>
      <c r="F2" s="21">
        <f>(C2*D2*E2)</f>
        <v>156</v>
      </c>
      <c r="G2" s="21">
        <v>46</v>
      </c>
      <c r="H2" s="21">
        <v>56</v>
      </c>
      <c r="I2" s="21">
        <v>24</v>
      </c>
      <c r="J2" s="4">
        <v>6.5000000000000002E-2</v>
      </c>
      <c r="K2" s="21">
        <f>(J2*D2)</f>
        <v>1560</v>
      </c>
      <c r="L2" s="21">
        <v>25</v>
      </c>
      <c r="M2" s="12"/>
      <c r="N2">
        <v>0</v>
      </c>
      <c r="O2">
        <v>0</v>
      </c>
      <c r="P2" s="227">
        <v>1722.72</v>
      </c>
      <c r="Q2" s="227">
        <f>F2+F3+F4+F5+F6+G2+G3+G4+G5+G6+H2+H3+H4+H5+H6+I2+I3+I4+I5+I6</f>
        <v>1258</v>
      </c>
      <c r="R2" s="21">
        <v>1336</v>
      </c>
      <c r="S2" s="21">
        <v>924</v>
      </c>
      <c r="T2" s="21">
        <v>407</v>
      </c>
      <c r="U2" s="21">
        <v>4875</v>
      </c>
      <c r="V2" s="227">
        <f>D2-U2</f>
        <v>19125</v>
      </c>
      <c r="W2" s="21">
        <f>D2+K2+L2</f>
        <v>25585</v>
      </c>
      <c r="X2" s="21">
        <f>Q2+(P2+R2+S2+T2+P3+R3+S3+T3+P4+R4+S4+T4+P5+R5+S5+T5+P6+R6+S6+T6)</f>
        <v>25991.81</v>
      </c>
      <c r="Y2" s="34">
        <v>1.6299999999999999E-2</v>
      </c>
      <c r="Z2" s="115">
        <f>(1+0.02)*(1+0.02)*(1+0.03)*(1+0.03)*(1+0.01)</f>
        <v>1.1147979636000001</v>
      </c>
      <c r="AA2" s="260">
        <f>W2+((X2/Z2)-((D2-13533)/Z2))</f>
        <v>39511.119805481139</v>
      </c>
    </row>
    <row r="3" spans="1:27" x14ac:dyDescent="0.25">
      <c r="A3" s="332"/>
      <c r="B3" s="135">
        <v>2018</v>
      </c>
      <c r="C3" s="269">
        <v>0.9</v>
      </c>
      <c r="D3" s="2">
        <v>24000</v>
      </c>
      <c r="E3" s="2">
        <f>(0.65/100)</f>
        <v>6.5000000000000006E-3</v>
      </c>
      <c r="F3" s="21">
        <f>(C3*D3*E3)</f>
        <v>140.4</v>
      </c>
      <c r="G3" s="21">
        <v>46</v>
      </c>
      <c r="H3" s="21">
        <v>56</v>
      </c>
      <c r="I3" s="21">
        <v>24</v>
      </c>
      <c r="J3" s="4">
        <v>0</v>
      </c>
      <c r="K3">
        <f>(J3*D3)</f>
        <v>0</v>
      </c>
      <c r="L3">
        <v>0</v>
      </c>
      <c r="M3" s="12"/>
      <c r="N3">
        <v>0</v>
      </c>
      <c r="O3">
        <v>0</v>
      </c>
      <c r="P3" s="227">
        <v>1985.2349999999999</v>
      </c>
      <c r="Q3" s="91"/>
      <c r="R3" s="21">
        <v>1376</v>
      </c>
      <c r="S3" s="21">
        <v>369</v>
      </c>
      <c r="T3" s="21">
        <v>477</v>
      </c>
      <c r="U3" s="21">
        <v>976</v>
      </c>
      <c r="V3" s="227">
        <f>V2-U3</f>
        <v>18149</v>
      </c>
      <c r="Y3" s="21">
        <v>2.46E-2</v>
      </c>
    </row>
    <row r="4" spans="1:27" x14ac:dyDescent="0.25">
      <c r="A4" s="332"/>
      <c r="B4" s="135">
        <v>2019</v>
      </c>
      <c r="C4" s="269">
        <v>0.8</v>
      </c>
      <c r="D4" s="2">
        <v>24000</v>
      </c>
      <c r="E4" s="2">
        <f>(0.65/100)</f>
        <v>6.5000000000000006E-3</v>
      </c>
      <c r="F4" s="21">
        <f>(C4*D4*E4)</f>
        <v>124.80000000000001</v>
      </c>
      <c r="G4" s="21">
        <v>46</v>
      </c>
      <c r="H4" s="21">
        <v>56</v>
      </c>
      <c r="I4" s="21">
        <v>24</v>
      </c>
      <c r="J4" s="4">
        <v>0</v>
      </c>
      <c r="K4">
        <f>(J4*D4)</f>
        <v>0</v>
      </c>
      <c r="L4">
        <v>0</v>
      </c>
      <c r="M4" s="12"/>
      <c r="N4">
        <v>0</v>
      </c>
      <c r="O4">
        <v>0</v>
      </c>
      <c r="P4" s="227">
        <v>2033.52</v>
      </c>
      <c r="Q4" s="91"/>
      <c r="R4" s="21">
        <v>1417</v>
      </c>
      <c r="S4" s="21">
        <v>1951</v>
      </c>
      <c r="T4" s="21">
        <v>557</v>
      </c>
      <c r="U4" s="21">
        <v>1695</v>
      </c>
      <c r="V4" s="227">
        <f t="shared" ref="V4:V6" si="0">V3-U4</f>
        <v>16454</v>
      </c>
      <c r="Y4" s="21">
        <v>2.75E-2</v>
      </c>
    </row>
    <row r="5" spans="1:27" x14ac:dyDescent="0.25">
      <c r="A5" s="332"/>
      <c r="B5" s="135">
        <v>2020</v>
      </c>
      <c r="C5" s="269">
        <v>0.7</v>
      </c>
      <c r="D5" s="2">
        <v>24000</v>
      </c>
      <c r="E5" s="2">
        <f>(0.65/100)</f>
        <v>6.5000000000000006E-3</v>
      </c>
      <c r="F5" s="21">
        <f>(C5*D5*E5)</f>
        <v>109.2</v>
      </c>
      <c r="G5" s="21">
        <v>46</v>
      </c>
      <c r="H5" s="21">
        <v>56</v>
      </c>
      <c r="I5" s="21">
        <v>24</v>
      </c>
      <c r="J5" s="4">
        <v>0</v>
      </c>
      <c r="K5">
        <f>(J5*D5)</f>
        <v>0</v>
      </c>
      <c r="L5">
        <v>0</v>
      </c>
      <c r="M5" s="12"/>
      <c r="N5">
        <v>0</v>
      </c>
      <c r="O5">
        <v>0</v>
      </c>
      <c r="P5" s="227">
        <v>1730.49</v>
      </c>
      <c r="Q5" s="91"/>
      <c r="R5" s="21">
        <v>1460</v>
      </c>
      <c r="S5" s="21">
        <v>501</v>
      </c>
      <c r="T5" s="21">
        <v>652</v>
      </c>
      <c r="U5" s="21">
        <v>1649</v>
      </c>
      <c r="V5" s="227">
        <f t="shared" si="0"/>
        <v>14805</v>
      </c>
      <c r="Y5" s="21">
        <v>2.8299999999999999E-2</v>
      </c>
    </row>
    <row r="6" spans="1:27" s="28" customFormat="1" x14ac:dyDescent="0.25">
      <c r="A6" s="333"/>
      <c r="B6" s="213">
        <v>2021</v>
      </c>
      <c r="C6" s="278">
        <v>0.6</v>
      </c>
      <c r="D6" s="2">
        <v>24000</v>
      </c>
      <c r="E6" s="90">
        <f>(0.65/100)</f>
        <v>6.5000000000000006E-3</v>
      </c>
      <c r="F6" s="49">
        <f>(C6*D6*E6)</f>
        <v>93.600000000000009</v>
      </c>
      <c r="G6" s="49">
        <v>46</v>
      </c>
      <c r="H6" s="49">
        <v>56</v>
      </c>
      <c r="I6" s="49">
        <v>28</v>
      </c>
      <c r="J6" s="47">
        <v>0</v>
      </c>
      <c r="K6" s="28">
        <f>(J6*D6)</f>
        <v>0</v>
      </c>
      <c r="L6" s="28">
        <v>0</v>
      </c>
      <c r="M6" s="98"/>
      <c r="N6" s="28">
        <v>0</v>
      </c>
      <c r="O6" s="28">
        <v>0</v>
      </c>
      <c r="P6" s="71">
        <v>2263.8449999999998</v>
      </c>
      <c r="Q6" s="25"/>
      <c r="R6" s="21">
        <v>1504</v>
      </c>
      <c r="S6" s="21">
        <v>1306</v>
      </c>
      <c r="T6" s="21">
        <v>761</v>
      </c>
      <c r="U6" s="21">
        <v>1272</v>
      </c>
      <c r="V6" s="227">
        <f t="shared" si="0"/>
        <v>13533</v>
      </c>
      <c r="Y6" s="21">
        <v>9.1999999999999998E-3</v>
      </c>
      <c r="AA6" s="261"/>
    </row>
    <row r="7" spans="1:27" s="221" customFormat="1" x14ac:dyDescent="0.25">
      <c r="A7" s="138"/>
      <c r="B7" s="138"/>
      <c r="C7" s="279"/>
      <c r="D7" s="219"/>
      <c r="E7" s="219"/>
      <c r="J7" s="226"/>
      <c r="R7" s="223"/>
      <c r="S7" s="223"/>
      <c r="T7" s="223"/>
      <c r="U7" s="223"/>
      <c r="V7" s="223"/>
      <c r="AA7" s="262"/>
    </row>
    <row r="8" spans="1:27" s="54" customFormat="1" ht="90" x14ac:dyDescent="0.25">
      <c r="A8" s="68" t="s">
        <v>55</v>
      </c>
      <c r="B8" s="187" t="s">
        <v>14</v>
      </c>
      <c r="C8" s="187" t="s">
        <v>111</v>
      </c>
      <c r="D8" s="233" t="s">
        <v>0</v>
      </c>
      <c r="E8" s="277" t="s">
        <v>110</v>
      </c>
      <c r="F8" s="187" t="s">
        <v>112</v>
      </c>
      <c r="G8" s="187" t="s">
        <v>101</v>
      </c>
      <c r="H8" s="187" t="s">
        <v>100</v>
      </c>
      <c r="I8" s="187" t="s">
        <v>102</v>
      </c>
      <c r="J8" s="187" t="s">
        <v>113</v>
      </c>
      <c r="K8" s="187" t="s">
        <v>114</v>
      </c>
      <c r="L8" s="187" t="s">
        <v>70</v>
      </c>
      <c r="M8" s="188" t="s">
        <v>56</v>
      </c>
      <c r="N8" s="187" t="s">
        <v>5</v>
      </c>
      <c r="O8" s="187" t="s">
        <v>6</v>
      </c>
      <c r="P8" s="189" t="s">
        <v>43</v>
      </c>
      <c r="Q8" s="187" t="s">
        <v>24</v>
      </c>
      <c r="R8" s="190" t="s">
        <v>7</v>
      </c>
      <c r="S8" s="187" t="s">
        <v>45</v>
      </c>
      <c r="T8" s="189" t="s">
        <v>8</v>
      </c>
      <c r="U8" s="187" t="s">
        <v>25</v>
      </c>
      <c r="V8" s="186" t="s">
        <v>38</v>
      </c>
      <c r="W8" s="271" t="s">
        <v>37</v>
      </c>
      <c r="X8" s="272" t="s">
        <v>47</v>
      </c>
      <c r="Y8" s="272" t="s">
        <v>48</v>
      </c>
      <c r="Z8" s="272" t="s">
        <v>49</v>
      </c>
      <c r="AA8" s="273" t="s">
        <v>39</v>
      </c>
    </row>
    <row r="9" spans="1:27" ht="15" customHeight="1" x14ac:dyDescent="0.25">
      <c r="A9" s="331" t="s">
        <v>32</v>
      </c>
      <c r="B9" s="213">
        <v>2017</v>
      </c>
      <c r="C9" s="269">
        <v>1</v>
      </c>
      <c r="D9" s="2">
        <v>45000</v>
      </c>
      <c r="E9" s="274">
        <f>(0.65/100)</f>
        <v>6.5000000000000006E-3</v>
      </c>
      <c r="F9" s="195">
        <f xml:space="preserve"> (C9*D9*E9)</f>
        <v>292.5</v>
      </c>
      <c r="G9" s="21">
        <v>0</v>
      </c>
      <c r="H9" s="21">
        <v>0</v>
      </c>
      <c r="I9" s="21">
        <v>24</v>
      </c>
      <c r="J9" s="4">
        <v>6.5000000000000002E-2</v>
      </c>
      <c r="K9" s="21">
        <f>(J9*D9)</f>
        <v>2925</v>
      </c>
      <c r="L9" s="21">
        <v>25</v>
      </c>
      <c r="M9" s="21">
        <v>0</v>
      </c>
      <c r="N9" s="21">
        <v>8500</v>
      </c>
      <c r="O9" s="21">
        <v>2000</v>
      </c>
      <c r="P9" s="21">
        <v>741.15000000000009</v>
      </c>
      <c r="Q9" s="216">
        <f>F9+F10+F11+F12+G12+G13+I9+I10+I11+I12+I13+M13</f>
        <v>1304.5</v>
      </c>
      <c r="R9" s="21">
        <v>1326</v>
      </c>
      <c r="S9" s="21">
        <v>247</v>
      </c>
      <c r="T9" s="21">
        <v>1537</v>
      </c>
      <c r="U9" s="21">
        <v>4651</v>
      </c>
      <c r="V9" s="21">
        <f>D9-U9</f>
        <v>40349</v>
      </c>
      <c r="W9" s="21">
        <f>D9+K9+L9-(N9+O9)</f>
        <v>37450</v>
      </c>
      <c r="X9" s="21">
        <f>Q9+P9+R9+S9+T9+P10+R10+S10+T10+P11+R11+S11+T11+P12+R12+S12+T12+P13+R13+S13+T13</f>
        <v>24634.2</v>
      </c>
      <c r="Y9" s="34">
        <v>1.6299999999999999E-2</v>
      </c>
      <c r="Z9" s="115">
        <f>(1+0.02)*(1+0.02)*(1+0.03)*(1+0.03)*(1+0.01)</f>
        <v>1.1147979636000001</v>
      </c>
      <c r="AA9" s="280">
        <f>W9+((X9/Z2)-((D9-34393)/Z2))</f>
        <v>50032.72840282393</v>
      </c>
    </row>
    <row r="10" spans="1:27" x14ac:dyDescent="0.25">
      <c r="A10" s="332"/>
      <c r="B10" s="135">
        <v>2018</v>
      </c>
      <c r="C10" s="269">
        <v>0.9</v>
      </c>
      <c r="D10" s="2">
        <v>45000</v>
      </c>
      <c r="E10" s="274">
        <f>(0.65/100)</f>
        <v>6.5000000000000006E-3</v>
      </c>
      <c r="F10" s="195">
        <f xml:space="preserve"> (C10*D10*E10)</f>
        <v>263.25</v>
      </c>
      <c r="G10" s="21">
        <v>0</v>
      </c>
      <c r="H10" s="21">
        <v>0</v>
      </c>
      <c r="I10" s="21">
        <v>24</v>
      </c>
      <c r="J10">
        <v>0</v>
      </c>
      <c r="K10">
        <f>(J10*D10)</f>
        <v>0</v>
      </c>
      <c r="L10">
        <v>0</v>
      </c>
      <c r="M10" s="21">
        <v>0</v>
      </c>
      <c r="N10" s="21">
        <v>0</v>
      </c>
      <c r="O10" s="21">
        <v>0</v>
      </c>
      <c r="P10" s="21">
        <v>733.05000000000007</v>
      </c>
      <c r="Q10" s="3"/>
      <c r="R10" s="21">
        <v>1366</v>
      </c>
      <c r="S10" s="21">
        <v>195</v>
      </c>
      <c r="T10" s="21">
        <v>1654</v>
      </c>
      <c r="U10" s="21">
        <v>1752</v>
      </c>
      <c r="V10" s="21">
        <f>V9-U10</f>
        <v>38597</v>
      </c>
      <c r="Y10" s="21">
        <v>2.46E-2</v>
      </c>
    </row>
    <row r="11" spans="1:27" x14ac:dyDescent="0.25">
      <c r="A11" s="332"/>
      <c r="B11" s="135">
        <v>2019</v>
      </c>
      <c r="C11" s="269">
        <v>0.8</v>
      </c>
      <c r="D11" s="2">
        <v>45000</v>
      </c>
      <c r="E11" s="274">
        <f>(0.65/100)</f>
        <v>6.5000000000000006E-3</v>
      </c>
      <c r="F11" s="195">
        <f xml:space="preserve"> (C11*D11*E11)</f>
        <v>234.00000000000003</v>
      </c>
      <c r="G11" s="21">
        <v>0</v>
      </c>
      <c r="H11" s="21">
        <v>0</v>
      </c>
      <c r="I11" s="21">
        <v>24</v>
      </c>
      <c r="J11">
        <v>0</v>
      </c>
      <c r="K11">
        <f>(J11*D11)</f>
        <v>0</v>
      </c>
      <c r="L11">
        <v>0</v>
      </c>
      <c r="M11" s="21">
        <v>0</v>
      </c>
      <c r="N11" s="21">
        <v>0</v>
      </c>
      <c r="O11" s="21">
        <v>0</v>
      </c>
      <c r="P11" s="21">
        <v>757.35</v>
      </c>
      <c r="Q11" s="3"/>
      <c r="R11" s="21">
        <v>1407</v>
      </c>
      <c r="S11" s="21">
        <v>1770</v>
      </c>
      <c r="T11" s="21">
        <v>1779</v>
      </c>
      <c r="U11" s="21">
        <v>1544</v>
      </c>
      <c r="V11" s="21">
        <f t="shared" ref="V11:V13" si="1">V10-U11</f>
        <v>37053</v>
      </c>
      <c r="Y11" s="21">
        <v>2.75E-2</v>
      </c>
    </row>
    <row r="12" spans="1:27" x14ac:dyDescent="0.25">
      <c r="A12" s="332"/>
      <c r="B12" s="135">
        <v>2020</v>
      </c>
      <c r="C12" s="269">
        <v>0.7</v>
      </c>
      <c r="D12" s="2">
        <v>45000</v>
      </c>
      <c r="E12" s="274">
        <f>(0.65/100)</f>
        <v>6.5000000000000006E-3</v>
      </c>
      <c r="F12" s="195">
        <f xml:space="preserve"> (C12*D12*E12)</f>
        <v>204.75</v>
      </c>
      <c r="G12" s="21">
        <v>43</v>
      </c>
      <c r="H12" s="21">
        <v>0</v>
      </c>
      <c r="I12" s="21">
        <v>24</v>
      </c>
      <c r="J12">
        <v>0</v>
      </c>
      <c r="K12">
        <f>(J12*D12)</f>
        <v>0</v>
      </c>
      <c r="L12">
        <v>0</v>
      </c>
      <c r="M12" s="21">
        <v>0</v>
      </c>
      <c r="N12" s="21">
        <v>0</v>
      </c>
      <c r="O12" s="21">
        <v>0</v>
      </c>
      <c r="P12" s="21">
        <v>805.95</v>
      </c>
      <c r="Q12" s="3"/>
      <c r="R12" s="21">
        <v>1449</v>
      </c>
      <c r="S12" s="21">
        <v>167</v>
      </c>
      <c r="T12" s="21">
        <v>1912</v>
      </c>
      <c r="U12" s="21">
        <v>1456</v>
      </c>
      <c r="V12" s="21">
        <f t="shared" si="1"/>
        <v>35597</v>
      </c>
      <c r="Y12" s="21">
        <v>2.8299999999999999E-2</v>
      </c>
    </row>
    <row r="13" spans="1:27" s="54" customFormat="1" x14ac:dyDescent="0.25">
      <c r="A13" s="333"/>
      <c r="B13" s="236">
        <v>2021</v>
      </c>
      <c r="C13" s="270">
        <v>0.6</v>
      </c>
      <c r="D13" s="2">
        <v>45000</v>
      </c>
      <c r="E13" s="275">
        <f>(0.65/100)</f>
        <v>6.5000000000000006E-3</v>
      </c>
      <c r="F13" s="276">
        <f xml:space="preserve"> (C13*D13*E13)</f>
        <v>175.50000000000003</v>
      </c>
      <c r="G13" s="50">
        <v>43</v>
      </c>
      <c r="H13" s="50">
        <v>0</v>
      </c>
      <c r="I13" s="50">
        <v>28</v>
      </c>
      <c r="J13" s="54">
        <v>0</v>
      </c>
      <c r="K13" s="54">
        <f>(J13*D13)</f>
        <v>0</v>
      </c>
      <c r="L13" s="54">
        <v>0</v>
      </c>
      <c r="M13" s="50">
        <v>100</v>
      </c>
      <c r="N13" s="50">
        <v>0</v>
      </c>
      <c r="O13" s="50">
        <v>0</v>
      </c>
      <c r="P13" s="50">
        <v>907.2</v>
      </c>
      <c r="Q13" s="63"/>
      <c r="R13" s="21">
        <v>1492</v>
      </c>
      <c r="S13" s="21">
        <v>1032</v>
      </c>
      <c r="T13" s="21">
        <v>2052</v>
      </c>
      <c r="U13" s="21">
        <v>1204</v>
      </c>
      <c r="V13" s="21">
        <f t="shared" si="1"/>
        <v>34393</v>
      </c>
      <c r="Y13" s="50">
        <v>9.1999999999999998E-3</v>
      </c>
      <c r="AA13" s="263"/>
    </row>
    <row r="14" spans="1:27" x14ac:dyDescent="0.25">
      <c r="D14" s="17"/>
      <c r="R14" s="17"/>
      <c r="S14" s="17"/>
      <c r="T14" s="17"/>
      <c r="U14" s="17"/>
      <c r="V14" s="17"/>
    </row>
    <row r="15" spans="1:27" x14ac:dyDescent="0.25">
      <c r="A15" s="58" t="s">
        <v>108</v>
      </c>
      <c r="B15" t="s">
        <v>109</v>
      </c>
    </row>
    <row r="17" spans="1:2" x14ac:dyDescent="0.25">
      <c r="A17" s="58" t="s">
        <v>103</v>
      </c>
      <c r="B17" t="s">
        <v>104</v>
      </c>
    </row>
    <row r="18" spans="1:2" x14ac:dyDescent="0.25">
      <c r="B18" s="20" t="s">
        <v>105</v>
      </c>
    </row>
    <row r="19" spans="1:2" x14ac:dyDescent="0.25">
      <c r="B19" s="20" t="s">
        <v>106</v>
      </c>
    </row>
    <row r="20" spans="1:2" x14ac:dyDescent="0.25">
      <c r="B20" t="s">
        <v>107</v>
      </c>
    </row>
  </sheetData>
  <mergeCells count="2">
    <mergeCell ref="A2:A6"/>
    <mergeCell ref="A9:A13"/>
  </mergeCells>
  <hyperlinks>
    <hyperlink ref="B18" r:id="rId1" xr:uid="{82F262EF-D026-47F3-9269-AB9F6968379B}"/>
    <hyperlink ref="B19" r:id="rId2" xr:uid="{A31826DB-C6AF-4E3C-8FB1-E885A1EDE362}"/>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3ADA6-8184-46BC-A3C6-A78001B22398}">
  <dimension ref="A1:V22"/>
  <sheetViews>
    <sheetView workbookViewId="0">
      <selection activeCell="V9" sqref="V9"/>
    </sheetView>
  </sheetViews>
  <sheetFormatPr baseColWidth="10" defaultRowHeight="15" x14ac:dyDescent="0.25"/>
  <sheetData>
    <row r="1" spans="1:22" ht="105" x14ac:dyDescent="0.25">
      <c r="A1" s="232" t="s">
        <v>55</v>
      </c>
      <c r="B1" s="29" t="s">
        <v>14</v>
      </c>
      <c r="C1" s="29" t="s">
        <v>0</v>
      </c>
      <c r="D1" s="29" t="s">
        <v>160</v>
      </c>
      <c r="E1" s="29" t="s">
        <v>161</v>
      </c>
      <c r="F1" s="29" t="s">
        <v>167</v>
      </c>
      <c r="G1" s="29" t="s">
        <v>162</v>
      </c>
      <c r="H1" s="41" t="s">
        <v>56</v>
      </c>
      <c r="I1" s="29" t="s">
        <v>5</v>
      </c>
      <c r="J1" s="29" t="s">
        <v>6</v>
      </c>
      <c r="K1" s="170" t="s">
        <v>34</v>
      </c>
      <c r="L1" s="99" t="s">
        <v>24</v>
      </c>
      <c r="M1" s="29" t="s">
        <v>7</v>
      </c>
      <c r="N1" s="29" t="s">
        <v>45</v>
      </c>
      <c r="O1" s="29" t="s">
        <v>8</v>
      </c>
      <c r="P1" s="29" t="s">
        <v>46</v>
      </c>
      <c r="Q1" s="99" t="s">
        <v>38</v>
      </c>
      <c r="R1" s="43" t="s">
        <v>37</v>
      </c>
      <c r="S1" s="42" t="s">
        <v>47</v>
      </c>
      <c r="T1" s="42" t="s">
        <v>48</v>
      </c>
      <c r="U1" s="42" t="s">
        <v>49</v>
      </c>
      <c r="V1" s="259" t="s">
        <v>39</v>
      </c>
    </row>
    <row r="2" spans="1:22" x14ac:dyDescent="0.25">
      <c r="A2" s="334" t="s">
        <v>17</v>
      </c>
      <c r="B2" s="131">
        <v>2017</v>
      </c>
      <c r="C2" s="301">
        <v>24000</v>
      </c>
      <c r="D2" s="115">
        <f>(7+2.25+2.75)/100</f>
        <v>0.12</v>
      </c>
      <c r="E2" s="96">
        <f>C2*D2</f>
        <v>2880</v>
      </c>
      <c r="F2" s="115">
        <v>86</v>
      </c>
      <c r="G2" s="115">
        <v>9</v>
      </c>
      <c r="H2" s="133">
        <v>0</v>
      </c>
      <c r="I2" s="144">
        <v>0</v>
      </c>
      <c r="J2" s="133">
        <v>0</v>
      </c>
      <c r="K2" s="150">
        <v>1112.2199999999998</v>
      </c>
      <c r="L2" s="115">
        <f>F2+F3+F4+F5+F6+(5*9)</f>
        <v>351</v>
      </c>
      <c r="M2" s="77">
        <v>726</v>
      </c>
      <c r="N2" s="78">
        <v>778</v>
      </c>
      <c r="O2" s="78">
        <v>327</v>
      </c>
      <c r="P2" s="78">
        <v>4911</v>
      </c>
      <c r="Q2" s="157">
        <f>C2-P2</f>
        <v>19089</v>
      </c>
      <c r="R2" s="165">
        <f>C2+E2</f>
        <v>26880</v>
      </c>
      <c r="S2" s="115">
        <f>L2+K2+M2+N2+O2+K3+M3+N3+O3+K4+M4+N4+O4+K5+M5+N5+O5+K6+M6+N6+O6</f>
        <v>16567.135000000002</v>
      </c>
      <c r="T2" s="34">
        <v>1.6299999999999999E-2</v>
      </c>
      <c r="U2" s="115">
        <f>(1+0.02)*(1+0.02)*(1+0.03)*(1+0.03)*(1+0.01)</f>
        <v>1.1147979636000001</v>
      </c>
      <c r="V2" s="265">
        <f>R2+((S2/U2)-((C2-13455)/U2))</f>
        <v>32281.996771282946</v>
      </c>
    </row>
    <row r="3" spans="1:22" x14ac:dyDescent="0.25">
      <c r="A3" s="328"/>
      <c r="B3" s="135">
        <v>2018</v>
      </c>
      <c r="C3" s="302"/>
      <c r="D3" s="22"/>
      <c r="E3" s="22"/>
      <c r="F3" s="128">
        <v>55</v>
      </c>
      <c r="G3" s="128">
        <v>9</v>
      </c>
      <c r="H3" s="137">
        <v>0</v>
      </c>
      <c r="I3" s="145">
        <v>0</v>
      </c>
      <c r="J3" s="137">
        <v>0</v>
      </c>
      <c r="K3" s="151">
        <v>1262.6249999999998</v>
      </c>
      <c r="L3" s="153"/>
      <c r="M3" s="299">
        <v>748</v>
      </c>
      <c r="N3" s="21">
        <v>289</v>
      </c>
      <c r="O3" s="21">
        <v>381</v>
      </c>
      <c r="P3" s="21">
        <v>983</v>
      </c>
      <c r="Q3" s="118">
        <f>Q2-P3</f>
        <v>18106</v>
      </c>
      <c r="R3" s="166"/>
      <c r="S3" s="116"/>
      <c r="T3" s="21">
        <v>2.46E-2</v>
      </c>
      <c r="U3" s="25"/>
      <c r="V3" s="266"/>
    </row>
    <row r="4" spans="1:22" x14ac:dyDescent="0.25">
      <c r="A4" s="328"/>
      <c r="B4" s="135">
        <v>2019</v>
      </c>
      <c r="C4" s="302"/>
      <c r="D4" s="22"/>
      <c r="E4" s="22"/>
      <c r="F4" s="128">
        <v>55</v>
      </c>
      <c r="G4" s="128">
        <v>9</v>
      </c>
      <c r="H4" s="137">
        <v>0</v>
      </c>
      <c r="I4" s="145">
        <v>0</v>
      </c>
      <c r="J4" s="137">
        <v>0</v>
      </c>
      <c r="K4" s="151">
        <v>1184.3699999999999</v>
      </c>
      <c r="L4" s="153"/>
      <c r="M4" s="299">
        <v>770</v>
      </c>
      <c r="N4" s="21">
        <v>1695</v>
      </c>
      <c r="O4" s="21">
        <v>443</v>
      </c>
      <c r="P4" s="21">
        <v>1708</v>
      </c>
      <c r="Q4" s="118">
        <f t="shared" ref="Q4:Q6" si="0">Q3-P4</f>
        <v>16398</v>
      </c>
      <c r="R4" s="166"/>
      <c r="S4" s="116"/>
      <c r="T4" s="21">
        <v>2.75E-2</v>
      </c>
      <c r="U4" s="25"/>
      <c r="V4" s="266"/>
    </row>
    <row r="5" spans="1:22" x14ac:dyDescent="0.25">
      <c r="A5" s="328"/>
      <c r="B5" s="135">
        <v>2020</v>
      </c>
      <c r="C5" s="302"/>
      <c r="D5" s="22"/>
      <c r="E5" s="22"/>
      <c r="F5" s="128">
        <v>55</v>
      </c>
      <c r="G5" s="128">
        <v>9</v>
      </c>
      <c r="H5" s="137">
        <v>0</v>
      </c>
      <c r="I5" s="145">
        <v>0</v>
      </c>
      <c r="J5" s="137">
        <v>0</v>
      </c>
      <c r="K5" s="151">
        <v>912.97499999999991</v>
      </c>
      <c r="L5" s="153"/>
      <c r="M5" s="299">
        <v>793</v>
      </c>
      <c r="N5" s="21">
        <v>404</v>
      </c>
      <c r="O5" s="21">
        <v>517</v>
      </c>
      <c r="P5" s="21">
        <v>1661</v>
      </c>
      <c r="Q5" s="118">
        <f t="shared" si="0"/>
        <v>14737</v>
      </c>
      <c r="R5" s="166"/>
      <c r="S5" s="116"/>
      <c r="T5" s="21">
        <v>2.8299999999999999E-2</v>
      </c>
      <c r="U5" s="25"/>
      <c r="V5" s="266"/>
    </row>
    <row r="6" spans="1:22" x14ac:dyDescent="0.25">
      <c r="A6" s="335"/>
      <c r="B6" s="135">
        <v>2021</v>
      </c>
      <c r="C6" s="302"/>
      <c r="D6" s="22"/>
      <c r="E6" s="22"/>
      <c r="F6" s="128">
        <v>55</v>
      </c>
      <c r="G6" s="128">
        <v>9</v>
      </c>
      <c r="H6" s="137">
        <v>0</v>
      </c>
      <c r="I6" s="145">
        <v>0</v>
      </c>
      <c r="J6" s="137">
        <v>0</v>
      </c>
      <c r="K6" s="151">
        <v>1386.9450000000002</v>
      </c>
      <c r="L6" s="154"/>
      <c r="M6" s="202">
        <v>817</v>
      </c>
      <c r="N6" s="21">
        <v>1068</v>
      </c>
      <c r="O6" s="21">
        <v>601</v>
      </c>
      <c r="P6" s="21">
        <v>1282</v>
      </c>
      <c r="Q6" s="118">
        <f t="shared" si="0"/>
        <v>13455</v>
      </c>
      <c r="R6" s="167"/>
      <c r="S6" s="116"/>
      <c r="T6" s="21">
        <v>9.1999999999999998E-3</v>
      </c>
      <c r="U6" s="25"/>
      <c r="V6" s="266"/>
    </row>
    <row r="7" spans="1:22" x14ac:dyDescent="0.25">
      <c r="A7" s="231"/>
      <c r="B7" s="138"/>
      <c r="C7" s="139"/>
      <c r="D7" s="129"/>
      <c r="E7" s="130"/>
      <c r="F7" s="140"/>
      <c r="G7" s="140"/>
      <c r="H7" s="140"/>
      <c r="I7" s="141"/>
      <c r="J7" s="140"/>
      <c r="K7" s="148"/>
      <c r="L7" s="140"/>
      <c r="M7" s="155"/>
      <c r="N7" s="142"/>
      <c r="O7" s="142"/>
      <c r="P7" s="142"/>
      <c r="Q7" s="140"/>
      <c r="R7" s="164"/>
      <c r="S7" s="140"/>
      <c r="T7" s="143"/>
      <c r="U7" s="140"/>
      <c r="V7" s="267"/>
    </row>
    <row r="8" spans="1:22" ht="120" x14ac:dyDescent="0.25">
      <c r="A8" s="232" t="s">
        <v>55</v>
      </c>
      <c r="B8" s="69" t="s">
        <v>14</v>
      </c>
      <c r="C8" s="69" t="s">
        <v>0</v>
      </c>
      <c r="D8" s="29" t="s">
        <v>160</v>
      </c>
      <c r="E8" s="29" t="s">
        <v>161</v>
      </c>
      <c r="F8" s="29" t="s">
        <v>167</v>
      </c>
      <c r="G8" s="29" t="s">
        <v>163</v>
      </c>
      <c r="H8" s="168" t="s">
        <v>56</v>
      </c>
      <c r="I8" s="69" t="s">
        <v>5</v>
      </c>
      <c r="J8" s="69" t="s">
        <v>6</v>
      </c>
      <c r="K8" s="169" t="s">
        <v>43</v>
      </c>
      <c r="L8" s="100" t="s">
        <v>24</v>
      </c>
      <c r="M8" s="69" t="s">
        <v>7</v>
      </c>
      <c r="N8" s="69" t="s">
        <v>45</v>
      </c>
      <c r="O8" s="69" t="s">
        <v>8</v>
      </c>
      <c r="P8" s="69" t="s">
        <v>46</v>
      </c>
      <c r="Q8" s="100" t="s">
        <v>38</v>
      </c>
      <c r="R8" s="43" t="s">
        <v>37</v>
      </c>
      <c r="S8" s="42" t="s">
        <v>47</v>
      </c>
      <c r="T8" s="42" t="s">
        <v>48</v>
      </c>
      <c r="U8" s="42" t="s">
        <v>49</v>
      </c>
      <c r="V8" s="259" t="s">
        <v>39</v>
      </c>
    </row>
    <row r="9" spans="1:22" x14ac:dyDescent="0.25">
      <c r="A9" s="334" t="s">
        <v>32</v>
      </c>
      <c r="B9" s="131">
        <v>2017</v>
      </c>
      <c r="C9" s="301">
        <v>45000</v>
      </c>
      <c r="D9" s="115">
        <f>(7+2.25+2.75)/100</f>
        <v>0.12</v>
      </c>
      <c r="E9" s="115">
        <f>C9*D9</f>
        <v>5400</v>
      </c>
      <c r="F9" s="115">
        <v>86</v>
      </c>
      <c r="G9" s="133"/>
      <c r="H9" s="133">
        <v>0</v>
      </c>
      <c r="I9" s="158">
        <v>8500</v>
      </c>
      <c r="J9" s="133">
        <v>0</v>
      </c>
      <c r="K9" s="150">
        <v>434.16</v>
      </c>
      <c r="L9" s="157">
        <f>F2+F3+F4+F5+F6</f>
        <v>306</v>
      </c>
      <c r="M9" s="77">
        <v>1181</v>
      </c>
      <c r="N9" s="78">
        <v>201</v>
      </c>
      <c r="O9" s="78">
        <v>1183</v>
      </c>
      <c r="P9" s="78">
        <v>4673</v>
      </c>
      <c r="Q9" s="115">
        <f>C9-P9</f>
        <v>40327</v>
      </c>
      <c r="R9" s="165">
        <f>C9+E9-I9</f>
        <v>41900</v>
      </c>
      <c r="S9" s="115">
        <f>L9+K9+M9+N9+O9+K10+M10+N10+O10+K11+M11+N11+O11+K12+M12+N12+O12+K13+M13+N13+O13</f>
        <v>18603.264999999999</v>
      </c>
      <c r="T9" s="34">
        <v>1.6299999999999999E-2</v>
      </c>
      <c r="U9" s="115">
        <f>(1+0.02)*(1+0.02)*(1+0.03)*(1+0.03)*(1+0.01)</f>
        <v>1.1147979636000001</v>
      </c>
      <c r="V9" s="265">
        <f>R9+((S9/U2)-((C9-34342)/U2))</f>
        <v>49027.089624690809</v>
      </c>
    </row>
    <row r="10" spans="1:22" x14ac:dyDescent="0.25">
      <c r="A10" s="328"/>
      <c r="B10" s="135">
        <v>2018</v>
      </c>
      <c r="C10" s="302"/>
      <c r="D10" s="118"/>
      <c r="E10" s="118"/>
      <c r="F10" s="128">
        <v>55</v>
      </c>
      <c r="G10" s="137"/>
      <c r="H10" s="137">
        <v>0</v>
      </c>
      <c r="I10" s="57">
        <v>0</v>
      </c>
      <c r="J10" s="137">
        <v>0</v>
      </c>
      <c r="K10" s="152">
        <v>433.75500000000005</v>
      </c>
      <c r="L10" s="146"/>
      <c r="M10" s="21">
        <v>1216</v>
      </c>
      <c r="N10" s="21">
        <v>152</v>
      </c>
      <c r="O10" s="21">
        <v>1269</v>
      </c>
      <c r="P10" s="21">
        <v>1760</v>
      </c>
      <c r="Q10" s="118">
        <f>Q9-P10</f>
        <v>38567</v>
      </c>
      <c r="R10" s="166"/>
      <c r="S10" s="116"/>
      <c r="T10" s="21">
        <v>2.46E-2</v>
      </c>
      <c r="U10" s="25"/>
      <c r="V10" s="266"/>
    </row>
    <row r="11" spans="1:22" x14ac:dyDescent="0.25">
      <c r="A11" s="328"/>
      <c r="B11" s="135">
        <v>2019</v>
      </c>
      <c r="C11" s="302"/>
      <c r="D11" s="118"/>
      <c r="E11" s="118"/>
      <c r="F11" s="128">
        <v>55</v>
      </c>
      <c r="G11" s="137"/>
      <c r="H11" s="137">
        <v>0</v>
      </c>
      <c r="I11" s="57">
        <v>0</v>
      </c>
      <c r="J11" s="137">
        <v>0</v>
      </c>
      <c r="K11" s="151">
        <v>440.23500000000001</v>
      </c>
      <c r="L11" s="146"/>
      <c r="M11" s="21">
        <v>1253</v>
      </c>
      <c r="N11" s="21">
        <v>1635</v>
      </c>
      <c r="O11" s="21">
        <v>1360</v>
      </c>
      <c r="P11" s="21">
        <v>1552</v>
      </c>
      <c r="Q11" s="118">
        <f t="shared" ref="Q11:Q13" si="1">Q10-P11</f>
        <v>37015</v>
      </c>
      <c r="R11" s="166"/>
      <c r="S11" s="116"/>
      <c r="T11" s="21">
        <v>2.75E-2</v>
      </c>
      <c r="U11" s="25"/>
      <c r="V11" s="266"/>
    </row>
    <row r="12" spans="1:22" x14ac:dyDescent="0.25">
      <c r="A12" s="328"/>
      <c r="B12" s="135">
        <v>2020</v>
      </c>
      <c r="C12" s="302"/>
      <c r="D12" s="118"/>
      <c r="E12" s="118"/>
      <c r="F12" s="128">
        <v>55</v>
      </c>
      <c r="G12" s="137"/>
      <c r="H12" s="137">
        <v>0</v>
      </c>
      <c r="I12" s="57">
        <v>0</v>
      </c>
      <c r="J12" s="137">
        <v>0</v>
      </c>
      <c r="K12" s="152">
        <v>435.78000000000003</v>
      </c>
      <c r="L12" s="146"/>
      <c r="M12" s="21">
        <v>1291</v>
      </c>
      <c r="N12" s="21">
        <v>132</v>
      </c>
      <c r="O12" s="21">
        <v>1458</v>
      </c>
      <c r="P12" s="21">
        <v>1463</v>
      </c>
      <c r="Q12" s="118">
        <f t="shared" si="1"/>
        <v>35552</v>
      </c>
      <c r="R12" s="166"/>
      <c r="S12" s="116"/>
      <c r="T12" s="21">
        <v>2.8299999999999999E-2</v>
      </c>
      <c r="U12" s="25"/>
      <c r="V12" s="266"/>
    </row>
    <row r="13" spans="1:22" x14ac:dyDescent="0.25">
      <c r="A13" s="335"/>
      <c r="B13" s="135">
        <v>2021</v>
      </c>
      <c r="C13" s="302"/>
      <c r="D13" s="118"/>
      <c r="E13" s="118"/>
      <c r="F13" s="128">
        <v>55</v>
      </c>
      <c r="G13" s="137"/>
      <c r="H13" s="137">
        <v>0</v>
      </c>
      <c r="I13" s="57">
        <v>0</v>
      </c>
      <c r="J13" s="137">
        <v>0</v>
      </c>
      <c r="K13" s="151">
        <v>448.33500000000004</v>
      </c>
      <c r="L13" s="147"/>
      <c r="M13" s="21">
        <v>1329</v>
      </c>
      <c r="N13" s="21">
        <v>885</v>
      </c>
      <c r="O13" s="21">
        <v>1560</v>
      </c>
      <c r="P13" s="21">
        <v>1210</v>
      </c>
      <c r="Q13" s="118">
        <f t="shared" si="1"/>
        <v>34342</v>
      </c>
      <c r="R13" s="167"/>
      <c r="S13" s="116"/>
      <c r="T13" s="21">
        <v>9.1999999999999998E-3</v>
      </c>
      <c r="U13" s="25"/>
      <c r="V13" s="266"/>
    </row>
    <row r="14" spans="1:22" x14ac:dyDescent="0.25">
      <c r="A14" s="24"/>
      <c r="B14" s="24"/>
      <c r="C14" s="24"/>
      <c r="D14" s="24"/>
      <c r="E14" s="24"/>
      <c r="F14" s="24"/>
      <c r="G14" s="24"/>
      <c r="H14" s="24"/>
      <c r="I14" s="24"/>
      <c r="J14" s="24"/>
      <c r="K14" s="24"/>
      <c r="L14" s="24"/>
      <c r="M14" s="24"/>
      <c r="N14" s="24"/>
      <c r="O14" s="24"/>
      <c r="P14" s="24"/>
      <c r="Q14" s="24"/>
      <c r="R14" s="24"/>
      <c r="S14" s="24"/>
      <c r="T14" s="24"/>
      <c r="U14" s="24"/>
      <c r="V14" s="268"/>
    </row>
    <row r="15" spans="1:22" x14ac:dyDescent="0.25">
      <c r="A15" s="58" t="s">
        <v>31</v>
      </c>
      <c r="B15" s="116" t="s">
        <v>165</v>
      </c>
      <c r="V15" s="261"/>
    </row>
    <row r="16" spans="1:22" x14ac:dyDescent="0.25">
      <c r="A16" s="58"/>
      <c r="V16" s="261"/>
    </row>
    <row r="17" spans="1:22" x14ac:dyDescent="0.25">
      <c r="A17" s="28"/>
      <c r="V17" s="261"/>
    </row>
    <row r="18" spans="1:22" x14ac:dyDescent="0.25">
      <c r="A18" s="28"/>
      <c r="V18" s="261"/>
    </row>
    <row r="19" spans="1:22" x14ac:dyDescent="0.25">
      <c r="A19" s="58" t="s">
        <v>15</v>
      </c>
      <c r="B19" t="s">
        <v>164</v>
      </c>
      <c r="V19" s="261"/>
    </row>
    <row r="20" spans="1:22" x14ac:dyDescent="0.25">
      <c r="B20" t="s">
        <v>166</v>
      </c>
    </row>
    <row r="21" spans="1:22" x14ac:dyDescent="0.25">
      <c r="B21" s="20" t="s">
        <v>169</v>
      </c>
    </row>
    <row r="22" spans="1:22" x14ac:dyDescent="0.25">
      <c r="B22" t="s">
        <v>168</v>
      </c>
    </row>
  </sheetData>
  <mergeCells count="2">
    <mergeCell ref="A2:A6"/>
    <mergeCell ref="A9:A13"/>
  </mergeCells>
  <hyperlinks>
    <hyperlink ref="B21" r:id="rId1" display="https://www.nashville.gov/departments/county-clerk/motor-vehicle-services/fees" xr:uid="{D3A63B51-8162-4D4A-A753-326407574E40}"/>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E6E40-2A04-48C2-AAAF-6011E47B008B}">
  <dimension ref="A1:V22"/>
  <sheetViews>
    <sheetView topLeftCell="H1" zoomScaleNormal="100" workbookViewId="0">
      <selection activeCell="V9" sqref="V9"/>
    </sheetView>
  </sheetViews>
  <sheetFormatPr baseColWidth="10" defaultRowHeight="15" x14ac:dyDescent="0.25"/>
  <cols>
    <col min="18" max="18" width="16.5703125" customWidth="1"/>
    <col min="19" max="19" width="14.7109375" customWidth="1"/>
    <col min="20" max="20" width="14.28515625" customWidth="1"/>
    <col min="21" max="21" width="15.42578125" customWidth="1"/>
    <col min="22" max="22" width="16.7109375" style="261" customWidth="1"/>
  </cols>
  <sheetData>
    <row r="1" spans="1:22" ht="90" x14ac:dyDescent="0.25">
      <c r="A1" s="186" t="s">
        <v>55</v>
      </c>
      <c r="B1" s="187" t="s">
        <v>14</v>
      </c>
      <c r="C1" s="187" t="s">
        <v>0</v>
      </c>
      <c r="D1" s="187" t="s">
        <v>68</v>
      </c>
      <c r="E1" s="187" t="s">
        <v>69</v>
      </c>
      <c r="F1" s="192" t="s">
        <v>118</v>
      </c>
      <c r="G1" s="192" t="s">
        <v>116</v>
      </c>
      <c r="H1" s="188" t="s">
        <v>56</v>
      </c>
      <c r="I1" s="187" t="s">
        <v>5</v>
      </c>
      <c r="J1" s="187" t="s">
        <v>6</v>
      </c>
      <c r="K1" s="234" t="s">
        <v>34</v>
      </c>
      <c r="L1" s="187" t="s">
        <v>24</v>
      </c>
      <c r="M1" s="190" t="s">
        <v>7</v>
      </c>
      <c r="N1" s="187" t="s">
        <v>45</v>
      </c>
      <c r="O1" s="187" t="s">
        <v>8</v>
      </c>
      <c r="P1" s="187" t="s">
        <v>46</v>
      </c>
      <c r="Q1" s="186" t="s">
        <v>38</v>
      </c>
      <c r="R1" s="199" t="s">
        <v>37</v>
      </c>
      <c r="S1" s="192" t="s">
        <v>47</v>
      </c>
      <c r="T1" s="192" t="s">
        <v>48</v>
      </c>
      <c r="U1" s="192" t="s">
        <v>49</v>
      </c>
      <c r="V1" s="273" t="s">
        <v>39</v>
      </c>
    </row>
    <row r="2" spans="1:22" ht="15" customHeight="1" x14ac:dyDescent="0.25">
      <c r="A2" s="331" t="s">
        <v>17</v>
      </c>
      <c r="B2" s="211">
        <v>2017</v>
      </c>
      <c r="C2" s="196">
        <v>24000</v>
      </c>
      <c r="D2" s="284">
        <v>8.8749999999999996E-2</v>
      </c>
      <c r="E2" s="22">
        <f>(D2*C2)</f>
        <v>2130</v>
      </c>
      <c r="F2" s="21">
        <v>52</v>
      </c>
      <c r="G2" s="21">
        <v>75</v>
      </c>
      <c r="H2" s="12"/>
      <c r="I2" s="21">
        <v>0</v>
      </c>
      <c r="J2" s="12"/>
      <c r="K2" s="21">
        <v>1446.885</v>
      </c>
      <c r="L2" s="21">
        <f>(3*F2)</f>
        <v>156</v>
      </c>
      <c r="M2" s="21">
        <v>887</v>
      </c>
      <c r="N2" s="21">
        <v>788</v>
      </c>
      <c r="O2" s="21">
        <v>330</v>
      </c>
      <c r="P2" s="21">
        <v>4786</v>
      </c>
      <c r="Q2" s="21">
        <f>C2-P2</f>
        <v>19214</v>
      </c>
      <c r="R2" s="21">
        <f>C2+E2+G2</f>
        <v>26205</v>
      </c>
      <c r="S2" s="21">
        <f>L2+K2+M2+N2+O2+K3+M3+N3+O3+K4+M4+N4+O4+K5+M5+N5+O5+K6+M6+N6+O6</f>
        <v>18981.79</v>
      </c>
      <c r="T2" s="34">
        <v>1.6299999999999999E-2</v>
      </c>
      <c r="U2" s="115">
        <f>(1+0.02)*(1+0.02)*(1+0.03)*(1+0.03)*(1+0.01)</f>
        <v>1.1147979636000001</v>
      </c>
      <c r="V2" s="260">
        <f>R2+((S2/U2)-((C2-13724)/U2))</f>
        <v>34014.298441743224</v>
      </c>
    </row>
    <row r="3" spans="1:22" x14ac:dyDescent="0.25">
      <c r="A3" s="332"/>
      <c r="B3" s="211">
        <v>2018</v>
      </c>
      <c r="C3" s="196">
        <v>24000</v>
      </c>
      <c r="D3" s="3">
        <v>0</v>
      </c>
      <c r="E3" s="22">
        <f>(D3*C3)</f>
        <v>0</v>
      </c>
      <c r="F3" s="21">
        <v>0</v>
      </c>
      <c r="G3" s="21">
        <v>0</v>
      </c>
      <c r="H3" s="12"/>
      <c r="I3" s="21">
        <v>0</v>
      </c>
      <c r="J3" s="12"/>
      <c r="K3" s="21">
        <v>1591.1849999999999</v>
      </c>
      <c r="M3" s="21">
        <v>914</v>
      </c>
      <c r="N3" s="21">
        <v>293</v>
      </c>
      <c r="O3" s="21">
        <v>385</v>
      </c>
      <c r="P3" s="21">
        <v>958</v>
      </c>
      <c r="Q3" s="21">
        <f>Q2-P3</f>
        <v>18256</v>
      </c>
      <c r="T3" s="21">
        <v>2.46E-2</v>
      </c>
    </row>
    <row r="4" spans="1:22" x14ac:dyDescent="0.25">
      <c r="A4" s="332"/>
      <c r="B4" s="211">
        <v>2019</v>
      </c>
      <c r="C4" s="196">
        <v>24000</v>
      </c>
      <c r="D4" s="3">
        <v>0</v>
      </c>
      <c r="E4" s="22">
        <f>(D4*C4)</f>
        <v>0</v>
      </c>
      <c r="F4" s="21">
        <v>52</v>
      </c>
      <c r="G4" s="21">
        <v>0</v>
      </c>
      <c r="H4" s="12"/>
      <c r="I4" s="21">
        <v>0</v>
      </c>
      <c r="J4" s="12"/>
      <c r="K4" s="21">
        <v>1502.9399999999998</v>
      </c>
      <c r="M4" s="21">
        <v>941</v>
      </c>
      <c r="N4" s="21">
        <v>1717</v>
      </c>
      <c r="O4" s="21">
        <v>448</v>
      </c>
      <c r="P4" s="21">
        <v>1664</v>
      </c>
      <c r="Q4" s="21">
        <f t="shared" ref="Q4:Q6" si="0">Q3-P4</f>
        <v>16592</v>
      </c>
      <c r="T4" s="21">
        <v>2.75E-2</v>
      </c>
    </row>
    <row r="5" spans="1:22" x14ac:dyDescent="0.25">
      <c r="A5" s="332"/>
      <c r="B5" s="211">
        <v>2020</v>
      </c>
      <c r="C5" s="196">
        <v>24000</v>
      </c>
      <c r="D5" s="3">
        <v>0</v>
      </c>
      <c r="E5" s="22">
        <f>(D5*C5)</f>
        <v>0</v>
      </c>
      <c r="F5" s="21">
        <v>0</v>
      </c>
      <c r="G5" s="21">
        <v>0</v>
      </c>
      <c r="H5" s="12"/>
      <c r="I5" s="21">
        <v>0</v>
      </c>
      <c r="J5" s="12"/>
      <c r="K5" s="21">
        <v>1268.175</v>
      </c>
      <c r="M5" s="21">
        <v>969</v>
      </c>
      <c r="N5" s="21">
        <v>409</v>
      </c>
      <c r="O5" s="21">
        <v>522</v>
      </c>
      <c r="P5" s="21">
        <v>1619</v>
      </c>
      <c r="Q5" s="21">
        <f t="shared" si="0"/>
        <v>14973</v>
      </c>
      <c r="T5" s="21">
        <v>2.8299999999999999E-2</v>
      </c>
    </row>
    <row r="6" spans="1:22" x14ac:dyDescent="0.25">
      <c r="A6" s="333"/>
      <c r="B6" s="211">
        <v>2021</v>
      </c>
      <c r="C6" s="196">
        <v>24000</v>
      </c>
      <c r="D6" s="3">
        <v>0</v>
      </c>
      <c r="E6" s="22">
        <f>(D6*C6)</f>
        <v>0</v>
      </c>
      <c r="F6" s="21">
        <v>52</v>
      </c>
      <c r="G6" s="21">
        <v>0</v>
      </c>
      <c r="H6" s="12"/>
      <c r="I6" s="21">
        <v>0</v>
      </c>
      <c r="J6" s="12"/>
      <c r="K6" s="21">
        <v>1726.605</v>
      </c>
      <c r="M6" s="50">
        <v>998</v>
      </c>
      <c r="N6" s="50">
        <v>1083</v>
      </c>
      <c r="O6" s="50">
        <v>606</v>
      </c>
      <c r="P6" s="50">
        <v>1249</v>
      </c>
      <c r="Q6" s="21">
        <f t="shared" si="0"/>
        <v>13724</v>
      </c>
      <c r="T6" s="21">
        <v>9.1999999999999998E-3</v>
      </c>
      <c r="U6" s="28"/>
    </row>
    <row r="7" spans="1:22" s="221" customFormat="1" x14ac:dyDescent="0.25">
      <c r="A7" s="138"/>
      <c r="B7" s="231"/>
      <c r="C7" s="219"/>
      <c r="D7" s="129"/>
      <c r="E7" s="130"/>
      <c r="M7" s="27"/>
      <c r="N7" s="27"/>
      <c r="O7" s="27"/>
      <c r="P7" s="27"/>
      <c r="V7" s="262"/>
    </row>
    <row r="8" spans="1:22" ht="90" x14ac:dyDescent="0.25">
      <c r="A8" s="68" t="s">
        <v>55</v>
      </c>
      <c r="B8" s="67" t="s">
        <v>14</v>
      </c>
      <c r="C8" s="67" t="s">
        <v>0</v>
      </c>
      <c r="D8" s="187" t="s">
        <v>68</v>
      </c>
      <c r="E8" s="187" t="s">
        <v>69</v>
      </c>
      <c r="F8" s="194" t="s">
        <v>118</v>
      </c>
      <c r="G8" s="192" t="s">
        <v>116</v>
      </c>
      <c r="H8" s="66" t="s">
        <v>56</v>
      </c>
      <c r="I8" s="67" t="s">
        <v>5</v>
      </c>
      <c r="J8" s="194" t="s">
        <v>6</v>
      </c>
      <c r="K8" s="282" t="s">
        <v>43</v>
      </c>
      <c r="L8" s="67" t="s">
        <v>24</v>
      </c>
      <c r="M8" s="190" t="s">
        <v>7</v>
      </c>
      <c r="N8" s="187" t="s">
        <v>45</v>
      </c>
      <c r="O8" s="187" t="s">
        <v>8</v>
      </c>
      <c r="P8" s="187" t="s">
        <v>46</v>
      </c>
      <c r="Q8" s="186" t="s">
        <v>38</v>
      </c>
      <c r="R8" s="199" t="s">
        <v>37</v>
      </c>
      <c r="S8" s="192" t="s">
        <v>47</v>
      </c>
      <c r="T8" s="192" t="s">
        <v>48</v>
      </c>
      <c r="U8" s="192" t="s">
        <v>49</v>
      </c>
      <c r="V8" s="273" t="s">
        <v>39</v>
      </c>
    </row>
    <row r="9" spans="1:22" ht="15" customHeight="1" x14ac:dyDescent="0.25">
      <c r="A9" s="331" t="s">
        <v>32</v>
      </c>
      <c r="B9" s="211">
        <v>2017</v>
      </c>
      <c r="C9" s="196">
        <v>45000</v>
      </c>
      <c r="D9" s="284">
        <v>8.8749999999999996E-2</v>
      </c>
      <c r="E9" s="21">
        <f xml:space="preserve"> (D9*C9)</f>
        <v>3993.75</v>
      </c>
      <c r="F9" s="21">
        <v>69</v>
      </c>
      <c r="G9" s="21">
        <v>75</v>
      </c>
      <c r="H9" s="21">
        <v>0</v>
      </c>
      <c r="I9" s="21">
        <v>8500</v>
      </c>
      <c r="J9" s="21">
        <v>2000</v>
      </c>
      <c r="K9" s="21">
        <v>801.90000000000009</v>
      </c>
      <c r="L9" s="21">
        <f>(3*F9)</f>
        <v>207</v>
      </c>
      <c r="M9" s="21">
        <v>1284</v>
      </c>
      <c r="N9" s="21">
        <v>204</v>
      </c>
      <c r="O9" s="21">
        <v>1196</v>
      </c>
      <c r="P9" s="21">
        <v>4716</v>
      </c>
      <c r="Q9" s="21">
        <f>C9-P9</f>
        <v>40284</v>
      </c>
      <c r="R9" s="21">
        <f>C9+E9+G9-(I9+J9)</f>
        <v>38568.75</v>
      </c>
      <c r="S9" s="21">
        <f>L9+K9+M9+N9+O9+K10+M10+N10+O10+K11+M11+N11+O11+K12+M12+N12+O12+K13+M13+N13+O13</f>
        <v>21101.05</v>
      </c>
      <c r="T9" s="34">
        <v>1.6299999999999999E-2</v>
      </c>
      <c r="U9" s="115">
        <f>(1+0.02)*(1+0.02)*(1+0.03)*(1+0.03)*(1+0.01)</f>
        <v>1.1147979636000001</v>
      </c>
      <c r="V9" s="280">
        <f>R9+((S9/U2)-((C9-34245)/U2))</f>
        <v>47849.400250373306</v>
      </c>
    </row>
    <row r="10" spans="1:22" x14ac:dyDescent="0.25">
      <c r="A10" s="332"/>
      <c r="B10" s="211">
        <v>2018</v>
      </c>
      <c r="C10" s="196">
        <v>45000</v>
      </c>
      <c r="D10">
        <v>0</v>
      </c>
      <c r="E10" s="21">
        <f xml:space="preserve"> (D10*C10)</f>
        <v>0</v>
      </c>
      <c r="F10" s="21">
        <v>0</v>
      </c>
      <c r="G10" s="21">
        <v>0</v>
      </c>
      <c r="H10" s="21">
        <v>0</v>
      </c>
      <c r="I10" s="21">
        <v>0</v>
      </c>
      <c r="J10" s="21">
        <v>0</v>
      </c>
      <c r="K10" s="21">
        <v>830.25</v>
      </c>
      <c r="M10" s="21">
        <v>1323</v>
      </c>
      <c r="N10" s="21">
        <v>153</v>
      </c>
      <c r="O10" s="21">
        <v>1282</v>
      </c>
      <c r="P10" s="21">
        <v>1776</v>
      </c>
      <c r="Q10" s="21">
        <f>Q9-P10</f>
        <v>38508</v>
      </c>
      <c r="T10" s="21">
        <v>2.46E-2</v>
      </c>
    </row>
    <row r="11" spans="1:22" x14ac:dyDescent="0.25">
      <c r="A11" s="332"/>
      <c r="B11" s="211">
        <v>2019</v>
      </c>
      <c r="C11" s="196">
        <v>45000</v>
      </c>
      <c r="D11">
        <v>0</v>
      </c>
      <c r="E11" s="21">
        <f xml:space="preserve"> (D11*C11)</f>
        <v>0</v>
      </c>
      <c r="F11" s="21">
        <v>69</v>
      </c>
      <c r="G11" s="21">
        <v>0</v>
      </c>
      <c r="H11" s="21">
        <v>0</v>
      </c>
      <c r="I11" s="21">
        <v>0</v>
      </c>
      <c r="J11" s="21">
        <v>0</v>
      </c>
      <c r="K11" s="21">
        <v>810</v>
      </c>
      <c r="M11" s="21">
        <v>1362</v>
      </c>
      <c r="N11" s="21">
        <v>1655</v>
      </c>
      <c r="O11" s="21">
        <v>1374</v>
      </c>
      <c r="P11" s="21">
        <v>1566</v>
      </c>
      <c r="Q11" s="21">
        <f t="shared" ref="Q11:Q13" si="1">Q10-P11</f>
        <v>36942</v>
      </c>
      <c r="T11" s="21">
        <v>2.75E-2</v>
      </c>
    </row>
    <row r="12" spans="1:22" x14ac:dyDescent="0.25">
      <c r="A12" s="332"/>
      <c r="B12" s="211">
        <v>2020</v>
      </c>
      <c r="C12" s="196">
        <v>45000</v>
      </c>
      <c r="D12">
        <v>0</v>
      </c>
      <c r="E12" s="21">
        <f xml:space="preserve"> (D12*C12)</f>
        <v>0</v>
      </c>
      <c r="F12" s="21">
        <v>0</v>
      </c>
      <c r="G12" s="21">
        <v>0</v>
      </c>
      <c r="H12" s="21">
        <v>0</v>
      </c>
      <c r="I12" s="21">
        <v>0</v>
      </c>
      <c r="J12" s="21">
        <v>0</v>
      </c>
      <c r="K12" s="21">
        <v>834.30000000000007</v>
      </c>
      <c r="M12" s="21">
        <v>1403</v>
      </c>
      <c r="N12" s="21">
        <v>133</v>
      </c>
      <c r="O12" s="21">
        <v>1473</v>
      </c>
      <c r="P12" s="21">
        <v>1476</v>
      </c>
      <c r="Q12" s="21">
        <f t="shared" si="1"/>
        <v>35466</v>
      </c>
      <c r="T12" s="21">
        <v>2.8299999999999999E-2</v>
      </c>
    </row>
    <row r="13" spans="1:22" ht="15.75" customHeight="1" x14ac:dyDescent="0.25">
      <c r="A13" s="333"/>
      <c r="B13" s="211">
        <v>2021</v>
      </c>
      <c r="C13" s="196">
        <v>45000</v>
      </c>
      <c r="D13">
        <v>0</v>
      </c>
      <c r="E13" s="21">
        <f xml:space="preserve"> (D13*C13)</f>
        <v>0</v>
      </c>
      <c r="F13" s="21">
        <v>69</v>
      </c>
      <c r="G13" s="21">
        <v>0</v>
      </c>
      <c r="H13" s="21">
        <v>0</v>
      </c>
      <c r="I13" s="21">
        <v>0</v>
      </c>
      <c r="J13" s="21">
        <v>0</v>
      </c>
      <c r="K13" s="21">
        <v>858.6</v>
      </c>
      <c r="M13" s="50">
        <v>1445</v>
      </c>
      <c r="N13" s="50">
        <v>897</v>
      </c>
      <c r="O13" s="50">
        <v>1575</v>
      </c>
      <c r="P13" s="50">
        <v>1221</v>
      </c>
      <c r="Q13" s="21">
        <f t="shared" si="1"/>
        <v>34245</v>
      </c>
      <c r="T13" s="21">
        <v>9.1999999999999998E-3</v>
      </c>
      <c r="U13" s="28"/>
    </row>
    <row r="14" spans="1:22" s="17" customFormat="1" x14ac:dyDescent="0.25">
      <c r="M14" s="28"/>
      <c r="N14" s="28"/>
      <c r="O14" s="28"/>
      <c r="P14" s="28"/>
      <c r="V14" s="281"/>
    </row>
    <row r="15" spans="1:22" x14ac:dyDescent="0.25">
      <c r="A15" s="58" t="s">
        <v>31</v>
      </c>
      <c r="B15" t="s">
        <v>117</v>
      </c>
    </row>
    <row r="16" spans="1:22" x14ac:dyDescent="0.25">
      <c r="B16" t="s">
        <v>120</v>
      </c>
    </row>
    <row r="17" spans="1:17" x14ac:dyDescent="0.25">
      <c r="A17" s="58" t="s">
        <v>103</v>
      </c>
    </row>
    <row r="18" spans="1:17" x14ac:dyDescent="0.25">
      <c r="B18" s="235" t="s">
        <v>115</v>
      </c>
    </row>
    <row r="19" spans="1:17" x14ac:dyDescent="0.25">
      <c r="B19" t="s">
        <v>119</v>
      </c>
    </row>
    <row r="22" spans="1:17" x14ac:dyDescent="0.25">
      <c r="Q22" t="s">
        <v>30</v>
      </c>
    </row>
  </sheetData>
  <mergeCells count="2">
    <mergeCell ref="A2:A6"/>
    <mergeCell ref="A9:A13"/>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7"/>
  <sheetViews>
    <sheetView topLeftCell="A2" zoomScale="70" zoomScaleNormal="70" workbookViewId="0">
      <selection activeCell="AA13" sqref="AA13"/>
    </sheetView>
  </sheetViews>
  <sheetFormatPr baseColWidth="10" defaultColWidth="9.140625" defaultRowHeight="15" x14ac:dyDescent="0.25"/>
  <cols>
    <col min="1" max="1" width="14.42578125" customWidth="1"/>
    <col min="2" max="2" width="10.5703125" customWidth="1"/>
    <col min="3" max="3" width="11.42578125" customWidth="1"/>
    <col min="4" max="4" width="9.85546875" customWidth="1"/>
    <col min="5" max="5" width="9.140625" customWidth="1"/>
    <col min="6" max="6" width="12.7109375" bestFit="1" customWidth="1"/>
    <col min="7" max="7" width="10.7109375" bestFit="1" customWidth="1"/>
    <col min="8" max="8" width="11.7109375" bestFit="1" customWidth="1"/>
    <col min="12" max="12" width="12.5703125" customWidth="1"/>
    <col min="16" max="16" width="11.42578125" customWidth="1"/>
    <col min="17" max="17" width="11.7109375" customWidth="1"/>
    <col min="18" max="18" width="9.5703125" customWidth="1"/>
    <col min="22" max="22" width="10.85546875" customWidth="1"/>
    <col min="23" max="23" width="19.140625" customWidth="1"/>
    <col min="24" max="24" width="17.7109375" customWidth="1"/>
    <col min="25" max="26" width="18.28515625" customWidth="1"/>
    <col min="27" max="27" width="35.85546875" customWidth="1"/>
    <col min="28" max="28" width="9.140625" style="26"/>
  </cols>
  <sheetData>
    <row r="1" spans="1:29" s="9" customFormat="1" ht="95.25" customHeight="1" x14ac:dyDescent="0.25">
      <c r="A1" s="29" t="s">
        <v>13</v>
      </c>
      <c r="B1" s="29" t="s">
        <v>14</v>
      </c>
      <c r="C1" s="29" t="s">
        <v>0</v>
      </c>
      <c r="D1" s="29" t="s">
        <v>1</v>
      </c>
      <c r="E1" s="29" t="s">
        <v>19</v>
      </c>
      <c r="F1" s="29" t="s">
        <v>2</v>
      </c>
      <c r="G1" s="29" t="s">
        <v>3</v>
      </c>
      <c r="H1" s="29" t="s">
        <v>22</v>
      </c>
      <c r="I1" s="29" t="s">
        <v>21</v>
      </c>
      <c r="J1" s="85" t="s">
        <v>27</v>
      </c>
      <c r="K1" s="29" t="s">
        <v>4</v>
      </c>
      <c r="L1" s="29" t="s">
        <v>28</v>
      </c>
      <c r="M1" s="41" t="s">
        <v>44</v>
      </c>
      <c r="N1" s="29" t="s">
        <v>5</v>
      </c>
      <c r="O1" s="29" t="s">
        <v>23</v>
      </c>
      <c r="P1" s="29" t="s">
        <v>34</v>
      </c>
      <c r="Q1" s="29" t="s">
        <v>24</v>
      </c>
      <c r="R1" s="29" t="s">
        <v>7</v>
      </c>
      <c r="S1" s="29" t="s">
        <v>26</v>
      </c>
      <c r="T1" s="29" t="s">
        <v>8</v>
      </c>
      <c r="U1" s="29" t="s">
        <v>25</v>
      </c>
      <c r="V1" s="29" t="s">
        <v>38</v>
      </c>
      <c r="W1" s="43" t="s">
        <v>37</v>
      </c>
      <c r="X1" s="42" t="s">
        <v>47</v>
      </c>
      <c r="Y1" s="42" t="s">
        <v>48</v>
      </c>
      <c r="Z1" s="42" t="s">
        <v>49</v>
      </c>
      <c r="AA1" s="23" t="s">
        <v>39</v>
      </c>
      <c r="AB1" s="81"/>
    </row>
    <row r="2" spans="1:29" s="40" customFormat="1" ht="30" x14ac:dyDescent="0.25">
      <c r="A2" s="336" t="s">
        <v>17</v>
      </c>
      <c r="B2" s="14">
        <v>2017</v>
      </c>
      <c r="C2" s="30">
        <v>24000</v>
      </c>
      <c r="D2" s="31" t="s">
        <v>9</v>
      </c>
      <c r="E2" s="32">
        <v>0.6</v>
      </c>
      <c r="F2" s="33">
        <f>(E2*C2)</f>
        <v>14400</v>
      </c>
      <c r="G2" s="33">
        <f>(2.8/100)</f>
        <v>2.7999999999999997E-2</v>
      </c>
      <c r="H2" s="34">
        <f>(F2*G2)</f>
        <v>403.19999999999993</v>
      </c>
      <c r="I2" s="35">
        <v>8.5999999999999993E-2</v>
      </c>
      <c r="J2" s="36">
        <f>(I2*C2)</f>
        <v>2064</v>
      </c>
      <c r="K2" s="37">
        <v>4</v>
      </c>
      <c r="L2" s="37">
        <v>8</v>
      </c>
      <c r="M2" s="38">
        <v>0</v>
      </c>
      <c r="N2" s="38">
        <v>0</v>
      </c>
      <c r="O2" s="38">
        <v>0</v>
      </c>
      <c r="P2" s="34">
        <v>1142.7450000000001</v>
      </c>
      <c r="Q2" s="34">
        <f>(H2+L2)</f>
        <v>411.19999999999993</v>
      </c>
      <c r="R2" s="39">
        <v>943</v>
      </c>
      <c r="S2" s="39">
        <v>892</v>
      </c>
      <c r="T2" s="39">
        <v>390</v>
      </c>
      <c r="U2" s="39">
        <v>4828</v>
      </c>
      <c r="V2" s="51">
        <f>((C2)-U2)</f>
        <v>19172</v>
      </c>
      <c r="W2" s="48">
        <f>(C2+J2+K2)</f>
        <v>26068</v>
      </c>
      <c r="X2" s="34">
        <f>(L2+P2+Q2+R2+S2+T2)+(L3+P3+Q3+R3+S3+T3)+(L4+P4+Q4+R4+S4+T4)+(L5+P5+Q5+R5+S5+T5)+(L6+P6+Q6+R6+S6+T6)</f>
        <v>20414.208688910156</v>
      </c>
      <c r="Y2" s="34">
        <v>1.6299999999999999E-2</v>
      </c>
      <c r="Z2" s="34">
        <f>(1+0.02)*(1+0.02)*(1+0.03)*(1+0.03)*(1+0.01)</f>
        <v>1.1147979636000001</v>
      </c>
      <c r="AA2" s="76">
        <f>W2+((X2/Z2)-((C2-13633)/Z2))</f>
        <v>35080.582563808115</v>
      </c>
      <c r="AB2" s="82"/>
      <c r="AC2" s="37"/>
    </row>
    <row r="3" spans="1:29" ht="105" x14ac:dyDescent="0.25">
      <c r="A3" s="337"/>
      <c r="B3" s="1">
        <v>2018</v>
      </c>
      <c r="C3" s="2"/>
      <c r="D3" s="2" t="s">
        <v>10</v>
      </c>
      <c r="E3" s="2" t="s">
        <v>20</v>
      </c>
      <c r="F3" s="21">
        <f>((F2)-(16.25%*F2))</f>
        <v>12060</v>
      </c>
      <c r="G3" s="22">
        <f>(2.89/100)</f>
        <v>2.8900000000000002E-2</v>
      </c>
      <c r="H3" s="21">
        <f>(F3*G3)</f>
        <v>348.53400000000005</v>
      </c>
      <c r="I3" s="3">
        <v>0</v>
      </c>
      <c r="J3" s="3">
        <f>(I3*H3)</f>
        <v>0</v>
      </c>
      <c r="K3">
        <v>0</v>
      </c>
      <c r="L3">
        <v>8</v>
      </c>
      <c r="M3" s="12">
        <v>0</v>
      </c>
      <c r="N3" s="12">
        <v>0</v>
      </c>
      <c r="O3" s="12">
        <v>0</v>
      </c>
      <c r="P3" s="21">
        <v>1349.76</v>
      </c>
      <c r="Q3" s="21">
        <f>(H3+L3)</f>
        <v>356.53400000000005</v>
      </c>
      <c r="R3" s="25">
        <v>971</v>
      </c>
      <c r="S3" s="25">
        <v>349</v>
      </c>
      <c r="T3" s="25">
        <v>454</v>
      </c>
      <c r="U3" s="25">
        <v>967</v>
      </c>
      <c r="V3" s="52">
        <f>(V2-U3)</f>
        <v>18205</v>
      </c>
      <c r="W3" s="49"/>
      <c r="X3" s="73"/>
      <c r="Y3" s="21">
        <v>2.46E-2</v>
      </c>
      <c r="Z3" s="21"/>
      <c r="AA3" s="46"/>
    </row>
    <row r="4" spans="1:29" ht="105" x14ac:dyDescent="0.25">
      <c r="A4" s="337"/>
      <c r="B4" s="1">
        <v>2019</v>
      </c>
      <c r="C4" s="2"/>
      <c r="D4" s="2" t="s">
        <v>10</v>
      </c>
      <c r="E4" s="2" t="s">
        <v>11</v>
      </c>
      <c r="F4" s="22">
        <f>((F3)-(16.25%*F3))</f>
        <v>10100.25</v>
      </c>
      <c r="G4" s="22">
        <f>(2.89/100)</f>
        <v>2.8900000000000002E-2</v>
      </c>
      <c r="H4" s="21">
        <f>(F4*G4)</f>
        <v>291.89722500000005</v>
      </c>
      <c r="I4" s="3">
        <v>0</v>
      </c>
      <c r="J4" s="3">
        <f>(I4*H4)</f>
        <v>0</v>
      </c>
      <c r="K4">
        <v>0</v>
      </c>
      <c r="L4">
        <v>8</v>
      </c>
      <c r="M4" s="12">
        <v>0</v>
      </c>
      <c r="N4" s="12">
        <v>0</v>
      </c>
      <c r="O4" s="12">
        <v>0</v>
      </c>
      <c r="P4" s="21">
        <v>1318.125</v>
      </c>
      <c r="Q4" s="21">
        <f>(H4+L4)</f>
        <v>299.89722500000005</v>
      </c>
      <c r="R4" s="25">
        <v>1000</v>
      </c>
      <c r="S4" s="25">
        <v>1881</v>
      </c>
      <c r="T4" s="25">
        <v>526</v>
      </c>
      <c r="U4" s="25">
        <v>1679</v>
      </c>
      <c r="V4" s="52">
        <f>(V3-U4)</f>
        <v>16526</v>
      </c>
      <c r="W4" s="55"/>
      <c r="X4" s="73"/>
      <c r="Y4" s="21">
        <v>2.75E-2</v>
      </c>
      <c r="Z4" s="21"/>
      <c r="AA4" s="46"/>
    </row>
    <row r="5" spans="1:29" ht="105" x14ac:dyDescent="0.25">
      <c r="A5" s="337"/>
      <c r="B5" s="1">
        <v>2020</v>
      </c>
      <c r="C5" s="2"/>
      <c r="D5" s="2" t="s">
        <v>10</v>
      </c>
      <c r="E5" s="2" t="s">
        <v>11</v>
      </c>
      <c r="F5" s="22">
        <f>((F4)-(16.25%*F4))</f>
        <v>8458.9593750000004</v>
      </c>
      <c r="G5" s="22">
        <f>(2.89/100)</f>
        <v>2.8900000000000002E-2</v>
      </c>
      <c r="H5" s="21">
        <f>(F5*G5)</f>
        <v>244.46392593750002</v>
      </c>
      <c r="I5" s="3">
        <v>0</v>
      </c>
      <c r="J5" s="3">
        <f>(I5*H5)</f>
        <v>0</v>
      </c>
      <c r="K5">
        <v>0</v>
      </c>
      <c r="L5">
        <v>8</v>
      </c>
      <c r="M5" s="12">
        <v>0</v>
      </c>
      <c r="N5" s="12">
        <v>0</v>
      </c>
      <c r="O5" s="12">
        <v>0</v>
      </c>
      <c r="P5" s="21">
        <v>1013.9849999999999</v>
      </c>
      <c r="Q5" s="21">
        <f>(H5+L5)</f>
        <v>252.46392593750002</v>
      </c>
      <c r="R5" s="25">
        <v>1030</v>
      </c>
      <c r="S5" s="25">
        <v>475</v>
      </c>
      <c r="T5" s="25">
        <v>617</v>
      </c>
      <c r="U5" s="25">
        <v>1633</v>
      </c>
      <c r="V5" s="52">
        <f>(V4-U5)</f>
        <v>14893</v>
      </c>
      <c r="W5" s="49"/>
      <c r="X5" s="73"/>
      <c r="Y5" s="21">
        <v>2.8299999999999999E-2</v>
      </c>
      <c r="Z5" s="21"/>
      <c r="AA5" s="46"/>
    </row>
    <row r="6" spans="1:29" ht="105" x14ac:dyDescent="0.25">
      <c r="A6" s="338"/>
      <c r="B6" s="1">
        <v>2021</v>
      </c>
      <c r="C6" s="2"/>
      <c r="D6" s="2" t="s">
        <v>10</v>
      </c>
      <c r="E6" s="2" t="s">
        <v>11</v>
      </c>
      <c r="F6" s="22">
        <f>((F5)-(16.25%*F5))</f>
        <v>7084.3784765625005</v>
      </c>
      <c r="G6" s="22">
        <f>(2.89/100)</f>
        <v>2.8900000000000002E-2</v>
      </c>
      <c r="H6" s="21">
        <f>(F6*G6)</f>
        <v>204.73853797265627</v>
      </c>
      <c r="I6" s="3">
        <v>0</v>
      </c>
      <c r="J6" s="3">
        <f>(I6*H6)</f>
        <v>0</v>
      </c>
      <c r="K6">
        <v>0</v>
      </c>
      <c r="L6">
        <v>8</v>
      </c>
      <c r="M6" s="12">
        <v>0</v>
      </c>
      <c r="N6" s="12">
        <v>0</v>
      </c>
      <c r="O6" s="12">
        <v>0</v>
      </c>
      <c r="P6" s="21">
        <v>1460.76</v>
      </c>
      <c r="Q6" s="21">
        <f>(H6+L6)</f>
        <v>212.73853797265627</v>
      </c>
      <c r="R6" s="27">
        <v>1061</v>
      </c>
      <c r="S6" s="27">
        <v>1246</v>
      </c>
      <c r="T6" s="27">
        <v>721</v>
      </c>
      <c r="U6" s="27">
        <v>1260</v>
      </c>
      <c r="V6" s="53">
        <f>(V5-U6)</f>
        <v>13633</v>
      </c>
      <c r="W6" s="50"/>
      <c r="X6" s="74"/>
      <c r="Y6" s="21">
        <v>9.1999999999999998E-3</v>
      </c>
      <c r="Z6" s="50"/>
      <c r="AA6" s="46"/>
    </row>
    <row r="7" spans="1:29" x14ac:dyDescent="0.25">
      <c r="A7" s="13"/>
      <c r="B7" s="14"/>
      <c r="C7" s="15"/>
      <c r="D7" s="15"/>
      <c r="E7" s="15"/>
      <c r="F7" s="16"/>
      <c r="G7" s="16"/>
      <c r="H7" s="17"/>
      <c r="I7" s="16"/>
      <c r="J7" s="18"/>
      <c r="K7" s="17"/>
      <c r="L7" s="17"/>
      <c r="M7" s="17"/>
      <c r="N7" s="17"/>
      <c r="O7" s="17"/>
      <c r="P7" s="17"/>
      <c r="Q7" s="17"/>
      <c r="R7" s="25"/>
      <c r="S7" s="25"/>
      <c r="T7" s="25"/>
      <c r="U7" s="25"/>
      <c r="V7" s="28"/>
      <c r="W7" s="17"/>
      <c r="X7" s="17"/>
      <c r="Y7" s="19"/>
      <c r="Z7" s="47"/>
      <c r="AA7" s="18"/>
    </row>
    <row r="8" spans="1:29" x14ac:dyDescent="0.25">
      <c r="A8" s="10" t="s">
        <v>15</v>
      </c>
      <c r="B8" s="1"/>
      <c r="C8" s="11"/>
      <c r="D8" s="2"/>
      <c r="E8" s="2"/>
      <c r="F8" s="3"/>
      <c r="G8" s="3"/>
      <c r="I8" s="3"/>
      <c r="J8" s="5"/>
      <c r="R8" s="25"/>
      <c r="S8" s="25"/>
      <c r="T8" s="25"/>
      <c r="U8" s="25"/>
      <c r="Y8" s="4"/>
      <c r="Z8" s="4"/>
      <c r="AA8" s="5"/>
    </row>
    <row r="9" spans="1:29" x14ac:dyDescent="0.25">
      <c r="A9" s="10"/>
      <c r="B9" s="1"/>
      <c r="C9" s="11" t="s">
        <v>18</v>
      </c>
      <c r="D9" s="2" t="s">
        <v>35</v>
      </c>
      <c r="E9" s="2"/>
      <c r="F9" s="3"/>
      <c r="G9" s="3"/>
      <c r="I9" s="20" t="s">
        <v>29</v>
      </c>
      <c r="J9" s="5" t="s">
        <v>30</v>
      </c>
      <c r="R9" s="56" t="s">
        <v>36</v>
      </c>
      <c r="S9" s="25" t="s">
        <v>30</v>
      </c>
      <c r="T9" s="25"/>
      <c r="U9" s="25"/>
      <c r="Y9" s="4"/>
      <c r="Z9" s="4"/>
      <c r="AA9" s="5"/>
    </row>
    <row r="10" spans="1:29" x14ac:dyDescent="0.25">
      <c r="A10" s="10"/>
      <c r="B10" s="1"/>
      <c r="C10" s="2"/>
      <c r="D10" s="2"/>
      <c r="E10" s="2"/>
      <c r="F10" s="3"/>
      <c r="G10" s="3"/>
      <c r="I10" s="3"/>
      <c r="J10" s="5"/>
      <c r="R10" s="25"/>
      <c r="S10" s="25"/>
      <c r="T10" s="25"/>
      <c r="U10" s="25"/>
      <c r="Y10" s="4"/>
      <c r="Z10" s="4"/>
      <c r="AA10" s="5"/>
    </row>
    <row r="11" spans="1:29" s="54" customFormat="1" x14ac:dyDescent="0.25">
      <c r="A11" s="60"/>
      <c r="B11" s="61"/>
      <c r="C11" s="62"/>
      <c r="D11" s="62"/>
      <c r="E11" s="62"/>
      <c r="F11" s="63"/>
      <c r="G11" s="63"/>
      <c r="I11" s="63"/>
      <c r="J11" s="64"/>
      <c r="R11" s="27"/>
      <c r="S11" s="27"/>
      <c r="T11" s="27"/>
      <c r="U11" s="27"/>
      <c r="Y11" s="65"/>
      <c r="Z11" s="65"/>
      <c r="AA11" s="64"/>
      <c r="AB11" s="44"/>
    </row>
    <row r="12" spans="1:29" s="8" customFormat="1" ht="95.25" customHeight="1" x14ac:dyDescent="0.25">
      <c r="A12" s="67" t="s">
        <v>13</v>
      </c>
      <c r="B12" s="67" t="s">
        <v>14</v>
      </c>
      <c r="C12" s="67" t="s">
        <v>0</v>
      </c>
      <c r="D12" s="67" t="s">
        <v>1</v>
      </c>
      <c r="E12" s="67" t="s">
        <v>19</v>
      </c>
      <c r="F12" s="67" t="s">
        <v>2</v>
      </c>
      <c r="G12" s="67" t="s">
        <v>3</v>
      </c>
      <c r="H12" s="67" t="s">
        <v>22</v>
      </c>
      <c r="I12" s="67" t="s">
        <v>21</v>
      </c>
      <c r="J12" s="86" t="s">
        <v>27</v>
      </c>
      <c r="K12" s="67" t="s">
        <v>4</v>
      </c>
      <c r="L12" s="67" t="s">
        <v>28</v>
      </c>
      <c r="M12" s="66" t="s">
        <v>44</v>
      </c>
      <c r="N12" s="67" t="s">
        <v>5</v>
      </c>
      <c r="O12" s="67" t="s">
        <v>23</v>
      </c>
      <c r="P12" s="67" t="s">
        <v>43</v>
      </c>
      <c r="Q12" s="67" t="s">
        <v>24</v>
      </c>
      <c r="R12" s="69" t="s">
        <v>7</v>
      </c>
      <c r="S12" s="67" t="s">
        <v>45</v>
      </c>
      <c r="T12" s="67" t="s">
        <v>8</v>
      </c>
      <c r="U12" s="67" t="s">
        <v>46</v>
      </c>
      <c r="V12" s="68" t="s">
        <v>38</v>
      </c>
      <c r="W12" s="43" t="s">
        <v>37</v>
      </c>
      <c r="X12" s="42" t="s">
        <v>47</v>
      </c>
      <c r="Y12" s="42" t="s">
        <v>48</v>
      </c>
      <c r="Z12" s="42" t="s">
        <v>49</v>
      </c>
      <c r="AA12" s="23" t="s">
        <v>39</v>
      </c>
      <c r="AB12" s="83"/>
    </row>
    <row r="13" spans="1:29" ht="33.75" customHeight="1" x14ac:dyDescent="0.25">
      <c r="A13" s="339" t="s">
        <v>32</v>
      </c>
      <c r="B13" s="1">
        <v>2017</v>
      </c>
      <c r="C13" s="2">
        <v>45000</v>
      </c>
      <c r="D13" t="s">
        <v>12</v>
      </c>
      <c r="E13" s="7">
        <v>0.01</v>
      </c>
      <c r="F13" s="22">
        <f>(E13*C13)</f>
        <v>450</v>
      </c>
      <c r="G13" s="22">
        <f>(4/100)</f>
        <v>0.04</v>
      </c>
      <c r="H13" s="22">
        <f>(F13*G13)</f>
        <v>18</v>
      </c>
      <c r="I13" s="4">
        <v>0</v>
      </c>
      <c r="J13">
        <f xml:space="preserve"> (I13*C13)</f>
        <v>0</v>
      </c>
      <c r="K13">
        <v>4</v>
      </c>
      <c r="L13">
        <v>8</v>
      </c>
      <c r="M13" s="12">
        <v>0</v>
      </c>
      <c r="N13">
        <v>8500</v>
      </c>
      <c r="O13" s="12">
        <v>0</v>
      </c>
      <c r="P13" s="21">
        <v>503.82000000000005</v>
      </c>
      <c r="Q13" s="21">
        <f>(H13+L13+M13)</f>
        <v>26</v>
      </c>
      <c r="R13" s="70">
        <v>1515</v>
      </c>
      <c r="S13" s="71">
        <v>233</v>
      </c>
      <c r="T13" s="71">
        <v>1423</v>
      </c>
      <c r="U13" s="71">
        <v>4707</v>
      </c>
      <c r="V13" s="72">
        <f>(C13-U13)</f>
        <v>40293</v>
      </c>
      <c r="W13" s="77">
        <f>(C13+K13-N13)</f>
        <v>36504</v>
      </c>
      <c r="X13" s="78">
        <f>(L13+P13+Q13+R13+S13+T13)+(L14+P14+Q14+R14+S14+T14)+(L15+P15+Q15+R15+S15+T15)+(L16+P16+Q16+R16+S16+T16)+(L17+P17+Q17+R17+S17+T17)</f>
        <v>22424.799484814452</v>
      </c>
      <c r="Y13" s="34">
        <v>1.6299999999999999E-2</v>
      </c>
      <c r="Z13" s="34">
        <f>(1+0.02)*(1+0.02)*(1+0.03)*(1+0.03)*(1+0.01)</f>
        <v>1.1147979636000001</v>
      </c>
      <c r="AA13" s="79">
        <f>W13+((X13/Z13)-((C13-34265)/Z13))</f>
        <v>46990.025151198482</v>
      </c>
    </row>
    <row r="14" spans="1:29" ht="105" x14ac:dyDescent="0.25">
      <c r="A14" s="339"/>
      <c r="B14" s="1">
        <v>2018</v>
      </c>
      <c r="C14" s="2"/>
      <c r="D14" s="2" t="s">
        <v>10</v>
      </c>
      <c r="E14" s="2" t="s">
        <v>11</v>
      </c>
      <c r="F14" s="22">
        <f>((F13)-(F13*16.25%))</f>
        <v>376.875</v>
      </c>
      <c r="G14" s="22">
        <f>(4/100)</f>
        <v>0.04</v>
      </c>
      <c r="H14" s="22">
        <f>(F14*G14)</f>
        <v>15.075000000000001</v>
      </c>
      <c r="I14">
        <v>0</v>
      </c>
      <c r="J14">
        <f xml:space="preserve"> (I14*H14)</f>
        <v>0</v>
      </c>
      <c r="K14">
        <v>0</v>
      </c>
      <c r="L14">
        <v>8</v>
      </c>
      <c r="M14" s="12">
        <v>0</v>
      </c>
      <c r="N14">
        <v>0</v>
      </c>
      <c r="O14" s="12">
        <v>0</v>
      </c>
      <c r="P14" s="21">
        <v>567.33750000000009</v>
      </c>
      <c r="Q14" s="21">
        <f t="shared" ref="Q14:Q17" si="0">(H14+L14+M14)</f>
        <v>23.075000000000003</v>
      </c>
      <c r="R14" s="71">
        <v>1560</v>
      </c>
      <c r="S14" s="71">
        <v>181</v>
      </c>
      <c r="T14" s="71">
        <v>1521</v>
      </c>
      <c r="U14" s="71">
        <v>1773</v>
      </c>
      <c r="V14" s="72">
        <f>(V13-U14)</f>
        <v>38520</v>
      </c>
      <c r="X14" s="21"/>
      <c r="Y14" s="21">
        <v>2.46E-2</v>
      </c>
      <c r="Z14" s="21"/>
      <c r="AA14" s="75"/>
    </row>
    <row r="15" spans="1:29" ht="105" x14ac:dyDescent="0.25">
      <c r="A15" s="339"/>
      <c r="B15" s="1">
        <v>2019</v>
      </c>
      <c r="C15" s="2"/>
      <c r="D15" s="2" t="s">
        <v>10</v>
      </c>
      <c r="E15" s="2" t="s">
        <v>11</v>
      </c>
      <c r="F15" s="22">
        <f>((F14)-(F14*16.25%))</f>
        <v>315.6328125</v>
      </c>
      <c r="G15" s="22">
        <f>(4/100)</f>
        <v>0.04</v>
      </c>
      <c r="H15" s="22">
        <f>(F15*G15)</f>
        <v>12.6253125</v>
      </c>
      <c r="I15">
        <v>0</v>
      </c>
      <c r="J15">
        <f xml:space="preserve"> (I15*H15)</f>
        <v>0</v>
      </c>
      <c r="K15">
        <v>0</v>
      </c>
      <c r="L15">
        <v>8</v>
      </c>
      <c r="M15" s="12">
        <v>0</v>
      </c>
      <c r="N15">
        <v>0</v>
      </c>
      <c r="O15" s="12">
        <v>0</v>
      </c>
      <c r="P15" s="21">
        <v>552.82500000000005</v>
      </c>
      <c r="Q15" s="21">
        <f t="shared" si="0"/>
        <v>20.6253125</v>
      </c>
      <c r="R15" s="71">
        <v>1607</v>
      </c>
      <c r="S15" s="71">
        <v>1741</v>
      </c>
      <c r="T15" s="71">
        <v>1626</v>
      </c>
      <c r="U15" s="71">
        <v>1563</v>
      </c>
      <c r="V15" s="72">
        <f>(V14-U15)</f>
        <v>36957</v>
      </c>
      <c r="X15" s="21"/>
      <c r="Y15" s="21">
        <v>2.75E-2</v>
      </c>
      <c r="Z15" s="21"/>
      <c r="AA15" s="75"/>
    </row>
    <row r="16" spans="1:29" ht="105" x14ac:dyDescent="0.25">
      <c r="A16" s="339"/>
      <c r="B16" s="1">
        <v>2020</v>
      </c>
      <c r="C16" s="2"/>
      <c r="D16" s="2" t="s">
        <v>10</v>
      </c>
      <c r="E16" s="2" t="s">
        <v>11</v>
      </c>
      <c r="F16" s="22">
        <f>((F15)-(F15*16.25%))</f>
        <v>264.34248046875001</v>
      </c>
      <c r="G16" s="22">
        <f>(4/100)</f>
        <v>0.04</v>
      </c>
      <c r="H16" s="22">
        <f>(F16*G16)</f>
        <v>10.573699218750001</v>
      </c>
      <c r="I16">
        <v>0</v>
      </c>
      <c r="J16">
        <f xml:space="preserve"> (I16*H16)</f>
        <v>0</v>
      </c>
      <c r="K16">
        <v>0</v>
      </c>
      <c r="L16">
        <v>8</v>
      </c>
      <c r="M16" s="12">
        <v>0</v>
      </c>
      <c r="N16">
        <v>0</v>
      </c>
      <c r="O16" s="12">
        <v>0</v>
      </c>
      <c r="P16" s="21">
        <v>546.07500000000005</v>
      </c>
      <c r="Q16" s="21">
        <f t="shared" si="0"/>
        <v>18.573699218750001</v>
      </c>
      <c r="R16" s="71">
        <v>1655</v>
      </c>
      <c r="S16" s="71">
        <v>155</v>
      </c>
      <c r="T16" s="71">
        <v>1751</v>
      </c>
      <c r="U16" s="71">
        <v>1473</v>
      </c>
      <c r="V16" s="72">
        <f>(V15-U16)</f>
        <v>35484</v>
      </c>
      <c r="X16" s="21"/>
      <c r="Y16" s="21">
        <v>2.8299999999999999E-2</v>
      </c>
      <c r="Z16" s="21"/>
      <c r="AA16" s="75"/>
    </row>
    <row r="17" spans="1:28" ht="105" x14ac:dyDescent="0.25">
      <c r="A17" s="339"/>
      <c r="B17" s="1">
        <v>2021</v>
      </c>
      <c r="C17" s="2"/>
      <c r="D17" s="2" t="s">
        <v>10</v>
      </c>
      <c r="E17" s="2" t="s">
        <v>11</v>
      </c>
      <c r="F17" s="22">
        <f>((F16)-(F16*16.25%))</f>
        <v>221.38682739257814</v>
      </c>
      <c r="G17" s="22">
        <f>(4/100)</f>
        <v>0.04</v>
      </c>
      <c r="H17" s="22">
        <f>(F17*G17)</f>
        <v>8.8554730957031254</v>
      </c>
      <c r="I17">
        <v>0</v>
      </c>
      <c r="J17">
        <f xml:space="preserve"> (I17*H17)</f>
        <v>0</v>
      </c>
      <c r="K17">
        <v>0</v>
      </c>
      <c r="L17">
        <v>8</v>
      </c>
      <c r="M17" s="12">
        <v>0</v>
      </c>
      <c r="N17">
        <v>0</v>
      </c>
      <c r="O17" s="12">
        <v>0</v>
      </c>
      <c r="P17" s="21">
        <v>562.61250000000007</v>
      </c>
      <c r="Q17" s="21">
        <f t="shared" si="0"/>
        <v>16.855473095703125</v>
      </c>
      <c r="R17" s="49">
        <v>1705</v>
      </c>
      <c r="S17" s="21">
        <v>991</v>
      </c>
      <c r="T17" s="21">
        <v>1883</v>
      </c>
      <c r="U17" s="21">
        <v>1219</v>
      </c>
      <c r="V17" s="72">
        <f>(V16-U17)</f>
        <v>34265</v>
      </c>
      <c r="X17" s="21"/>
      <c r="Y17" s="21">
        <v>9.1999999999999998E-3</v>
      </c>
      <c r="Z17" s="21"/>
      <c r="AA17" s="75"/>
    </row>
    <row r="18" spans="1:28" s="17" customFormat="1" x14ac:dyDescent="0.25">
      <c r="AB18" s="84"/>
    </row>
    <row r="19" spans="1:28" x14ac:dyDescent="0.25">
      <c r="A19" s="58" t="s">
        <v>41</v>
      </c>
      <c r="B19" s="57" t="s">
        <v>40</v>
      </c>
    </row>
    <row r="20" spans="1:28" x14ac:dyDescent="0.25">
      <c r="B20" s="59" t="s">
        <v>42</v>
      </c>
      <c r="P20" s="6"/>
    </row>
    <row r="22" spans="1:28" x14ac:dyDescent="0.25">
      <c r="A22" s="10" t="s">
        <v>15</v>
      </c>
      <c r="B22" s="1"/>
      <c r="C22" s="11"/>
    </row>
    <row r="23" spans="1:28" x14ac:dyDescent="0.25">
      <c r="C23" s="11" t="s">
        <v>16</v>
      </c>
      <c r="D23" t="s">
        <v>33</v>
      </c>
    </row>
    <row r="24" spans="1:28" s="54" customFormat="1" x14ac:dyDescent="0.25">
      <c r="AB24" s="44"/>
    </row>
    <row r="25" spans="1:28" s="28" customFormat="1" x14ac:dyDescent="0.25">
      <c r="AB25" s="26"/>
    </row>
    <row r="26" spans="1:28" s="28" customFormat="1" x14ac:dyDescent="0.25">
      <c r="A26" s="80"/>
      <c r="AB26" s="26"/>
    </row>
    <row r="27" spans="1:28" x14ac:dyDescent="0.25">
      <c r="B27" s="340"/>
      <c r="C27" s="341"/>
      <c r="D27" s="341"/>
      <c r="E27" s="341"/>
      <c r="F27" s="341"/>
      <c r="G27" s="341"/>
      <c r="H27" s="341"/>
      <c r="I27" s="341"/>
      <c r="J27" s="341"/>
      <c r="K27" s="341"/>
      <c r="L27" s="341"/>
      <c r="M27" s="341"/>
      <c r="N27" s="341"/>
    </row>
  </sheetData>
  <mergeCells count="3">
    <mergeCell ref="A2:A6"/>
    <mergeCell ref="A13:A17"/>
    <mergeCell ref="B27:N27"/>
  </mergeCells>
  <hyperlinks>
    <hyperlink ref="C23" r:id="rId1" xr:uid="{6646F68E-FC3F-497E-B191-D457B7DEE194}"/>
    <hyperlink ref="C9" r:id="rId2" xr:uid="{804BEDEC-6300-497D-9F74-32018AAAE660}"/>
    <hyperlink ref="I9" r:id="rId3" location=":~:text=Phoenix%2C%20Arizona%27s%20Sales%20Tax%20Rate%20is%208.6%25 " xr:uid="{D4DBFFA2-9EDC-443D-A6E8-D576D3B7910F}"/>
    <hyperlink ref="R9" r:id="rId4" xr:uid="{D70A3033-397D-4566-B41D-8A2F940FAF72}"/>
  </hyperlinks>
  <pageMargins left="0.7" right="0.7" top="0.75" bottom="0.75" header="0.3" footer="0.3"/>
  <pageSetup paperSize="9" orientation="portrait" verticalDpi="0"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19EFC-2D82-4F7C-AD06-DCF8D235575B}">
  <dimension ref="A1:V19"/>
  <sheetViews>
    <sheetView topLeftCell="H1" zoomScale="120" zoomScaleNormal="120" workbookViewId="0">
      <selection activeCell="W8" sqref="W8"/>
    </sheetView>
  </sheetViews>
  <sheetFormatPr baseColWidth="10" defaultRowHeight="15" x14ac:dyDescent="0.25"/>
  <cols>
    <col min="22" max="22" width="11.42578125" style="261"/>
  </cols>
  <sheetData>
    <row r="1" spans="1:22" s="54" customFormat="1" ht="105" x14ac:dyDescent="0.25">
      <c r="A1" s="186" t="s">
        <v>55</v>
      </c>
      <c r="B1" s="190" t="s">
        <v>14</v>
      </c>
      <c r="C1" s="187" t="s">
        <v>0</v>
      </c>
      <c r="D1" s="233" t="s">
        <v>90</v>
      </c>
      <c r="E1" s="187" t="s">
        <v>91</v>
      </c>
      <c r="F1" s="187" t="s">
        <v>126</v>
      </c>
      <c r="G1" s="187" t="s">
        <v>125</v>
      </c>
      <c r="H1" s="188" t="s">
        <v>56</v>
      </c>
      <c r="I1" s="187" t="s">
        <v>5</v>
      </c>
      <c r="J1" s="187" t="s">
        <v>6</v>
      </c>
      <c r="K1" s="189" t="s">
        <v>34</v>
      </c>
      <c r="L1" s="187" t="s">
        <v>24</v>
      </c>
      <c r="M1" s="190" t="s">
        <v>7</v>
      </c>
      <c r="N1" s="187" t="s">
        <v>45</v>
      </c>
      <c r="O1" s="187" t="s">
        <v>8</v>
      </c>
      <c r="P1" s="187" t="s">
        <v>46</v>
      </c>
      <c r="Q1" s="186" t="s">
        <v>38</v>
      </c>
      <c r="R1" s="199" t="s">
        <v>37</v>
      </c>
      <c r="S1" s="192" t="s">
        <v>47</v>
      </c>
      <c r="T1" s="192" t="s">
        <v>48</v>
      </c>
      <c r="U1" s="192" t="s">
        <v>49</v>
      </c>
      <c r="V1" s="273" t="s">
        <v>39</v>
      </c>
    </row>
    <row r="2" spans="1:22" ht="15" customHeight="1" x14ac:dyDescent="0.25">
      <c r="A2" s="331" t="s">
        <v>17</v>
      </c>
      <c r="B2" s="211">
        <v>2017</v>
      </c>
      <c r="C2" s="196">
        <v>24000</v>
      </c>
      <c r="D2" s="4">
        <v>0.06</v>
      </c>
      <c r="E2" s="22">
        <f>(D2*C2)</f>
        <v>1440</v>
      </c>
      <c r="F2" s="21">
        <v>45.5</v>
      </c>
      <c r="G2" s="21">
        <v>85</v>
      </c>
      <c r="H2" s="12"/>
      <c r="I2" s="21">
        <v>0</v>
      </c>
      <c r="J2" s="21">
        <v>0</v>
      </c>
      <c r="K2" s="227">
        <v>1315.905</v>
      </c>
      <c r="L2" s="227">
        <f>F2+F6</f>
        <v>85</v>
      </c>
      <c r="M2" s="21">
        <v>756</v>
      </c>
      <c r="N2" s="21">
        <v>780</v>
      </c>
      <c r="O2" s="21">
        <v>330</v>
      </c>
      <c r="P2" s="118">
        <v>4729</v>
      </c>
      <c r="Q2" s="288">
        <f>C2-P2</f>
        <v>19271</v>
      </c>
      <c r="R2" s="21">
        <f>C2+E2+G2</f>
        <v>25525</v>
      </c>
      <c r="S2" s="21">
        <f>L2+K2+M2+N2+O2+K3+N3+O3+K4+M3+M4+N4+O4+K5+M5+N5+O5+K6+M6+N6+O6</f>
        <v>17482.48</v>
      </c>
      <c r="T2" s="34">
        <v>1.6299999999999999E-2</v>
      </c>
      <c r="U2" s="34">
        <f>(1+0.02)*(1+0.02)*(1+0.03)*(1+0.03)*(1+0.01)</f>
        <v>1.1147979636000001</v>
      </c>
      <c r="V2" s="260">
        <f>R2+((S2/U2)-((C2-13847)/U2))</f>
        <v>32099.715992780453</v>
      </c>
    </row>
    <row r="3" spans="1:22" x14ac:dyDescent="0.25">
      <c r="A3" s="332"/>
      <c r="B3" s="211">
        <v>2018</v>
      </c>
      <c r="C3" s="196">
        <v>24000</v>
      </c>
      <c r="D3" s="3">
        <v>0</v>
      </c>
      <c r="E3" s="3">
        <f>(D3*C3)</f>
        <v>0</v>
      </c>
      <c r="F3" s="21">
        <v>0</v>
      </c>
      <c r="G3" s="21">
        <v>0</v>
      </c>
      <c r="H3" s="12"/>
      <c r="I3" s="21">
        <v>0</v>
      </c>
      <c r="J3" s="21">
        <v>0</v>
      </c>
      <c r="K3" s="227">
        <v>1472.415</v>
      </c>
      <c r="L3" s="91"/>
      <c r="M3" s="21">
        <v>779</v>
      </c>
      <c r="N3" s="21">
        <v>291</v>
      </c>
      <c r="O3" s="21">
        <v>385</v>
      </c>
      <c r="P3" s="118">
        <v>947</v>
      </c>
      <c r="Q3" s="288">
        <f>Q2-P3</f>
        <v>18324</v>
      </c>
      <c r="T3" s="21">
        <v>2.46E-2</v>
      </c>
      <c r="U3" s="21"/>
    </row>
    <row r="4" spans="1:22" x14ac:dyDescent="0.25">
      <c r="A4" s="332"/>
      <c r="B4" s="211">
        <v>2019</v>
      </c>
      <c r="C4" s="196">
        <v>24000</v>
      </c>
      <c r="D4" s="3">
        <v>0</v>
      </c>
      <c r="E4" s="3">
        <f>(D4*C4)</f>
        <v>0</v>
      </c>
      <c r="F4" s="21">
        <v>0</v>
      </c>
      <c r="G4" s="21">
        <v>0</v>
      </c>
      <c r="H4" s="12"/>
      <c r="I4" s="21">
        <v>0</v>
      </c>
      <c r="J4" s="21">
        <v>0</v>
      </c>
      <c r="K4" s="227">
        <v>1381.395</v>
      </c>
      <c r="L4" s="91"/>
      <c r="M4" s="21">
        <v>802</v>
      </c>
      <c r="N4" s="21">
        <v>1696</v>
      </c>
      <c r="O4" s="21">
        <v>448</v>
      </c>
      <c r="P4" s="118">
        <v>1644</v>
      </c>
      <c r="Q4" s="288">
        <f t="shared" ref="Q4:Q6" si="0">Q3-P4</f>
        <v>16680</v>
      </c>
      <c r="T4" s="21">
        <v>2.75E-2</v>
      </c>
      <c r="U4" s="21"/>
    </row>
    <row r="5" spans="1:22" x14ac:dyDescent="0.25">
      <c r="A5" s="332"/>
      <c r="B5" s="211">
        <v>2020</v>
      </c>
      <c r="C5" s="196">
        <v>24000</v>
      </c>
      <c r="D5" s="3">
        <v>0</v>
      </c>
      <c r="E5" s="3">
        <f>(D5*C5)</f>
        <v>0</v>
      </c>
      <c r="F5" s="21">
        <v>0</v>
      </c>
      <c r="G5" s="21">
        <v>0</v>
      </c>
      <c r="H5" s="12"/>
      <c r="I5" s="21">
        <v>0</v>
      </c>
      <c r="J5" s="21">
        <v>0</v>
      </c>
      <c r="K5" s="227">
        <v>1098.345</v>
      </c>
      <c r="L5" s="91"/>
      <c r="M5" s="21">
        <v>826</v>
      </c>
      <c r="N5" s="21">
        <v>406</v>
      </c>
      <c r="O5" s="21">
        <v>522</v>
      </c>
      <c r="P5" s="118">
        <v>1599</v>
      </c>
      <c r="Q5" s="288">
        <f t="shared" si="0"/>
        <v>15081</v>
      </c>
      <c r="T5" s="21">
        <v>2.8299999999999999E-2</v>
      </c>
      <c r="U5" s="21"/>
    </row>
    <row r="6" spans="1:22" s="54" customFormat="1" x14ac:dyDescent="0.25">
      <c r="A6" s="333"/>
      <c r="B6" s="211">
        <v>2021</v>
      </c>
      <c r="C6" s="196">
        <v>24000</v>
      </c>
      <c r="D6" s="63">
        <v>0</v>
      </c>
      <c r="E6" s="63">
        <f>(D6*C6)</f>
        <v>0</v>
      </c>
      <c r="F6" s="50">
        <v>39.5</v>
      </c>
      <c r="G6" s="50">
        <v>0</v>
      </c>
      <c r="H6" s="103"/>
      <c r="I6" s="50">
        <v>0</v>
      </c>
      <c r="J6" s="50">
        <v>0</v>
      </c>
      <c r="K6" s="71">
        <v>1578.4199999999998</v>
      </c>
      <c r="L6" s="25"/>
      <c r="M6" s="50">
        <v>851</v>
      </c>
      <c r="N6" s="50">
        <v>1073</v>
      </c>
      <c r="O6" s="50">
        <v>606</v>
      </c>
      <c r="P6" s="120">
        <v>1234</v>
      </c>
      <c r="Q6" s="289">
        <f t="shared" si="0"/>
        <v>13847</v>
      </c>
      <c r="T6" s="50">
        <v>9.1999999999999998E-3</v>
      </c>
      <c r="U6" s="50"/>
      <c r="V6" s="263"/>
    </row>
    <row r="7" spans="1:22" x14ac:dyDescent="0.25">
      <c r="A7" s="131"/>
      <c r="B7" s="14"/>
      <c r="C7" s="15"/>
      <c r="D7" s="3"/>
      <c r="E7" s="5"/>
      <c r="K7" s="17"/>
      <c r="L7" s="17"/>
      <c r="M7" s="25"/>
      <c r="N7" s="25"/>
      <c r="O7" s="25"/>
      <c r="P7" s="25"/>
      <c r="Q7" s="285"/>
    </row>
    <row r="8" spans="1:22" s="221" customFormat="1" ht="105" x14ac:dyDescent="0.25">
      <c r="A8" s="68" t="s">
        <v>55</v>
      </c>
      <c r="B8" s="67" t="s">
        <v>14</v>
      </c>
      <c r="C8" s="67" t="s">
        <v>0</v>
      </c>
      <c r="D8" s="86" t="s">
        <v>90</v>
      </c>
      <c r="E8" s="67" t="s">
        <v>91</v>
      </c>
      <c r="F8" s="67" t="s">
        <v>126</v>
      </c>
      <c r="G8" s="67" t="s">
        <v>124</v>
      </c>
      <c r="H8" s="66" t="s">
        <v>56</v>
      </c>
      <c r="I8" s="67" t="s">
        <v>5</v>
      </c>
      <c r="J8" s="67" t="s">
        <v>6</v>
      </c>
      <c r="K8" s="184" t="s">
        <v>43</v>
      </c>
      <c r="L8" s="68" t="s">
        <v>24</v>
      </c>
      <c r="M8" s="185" t="s">
        <v>7</v>
      </c>
      <c r="N8" s="67" t="s">
        <v>45</v>
      </c>
      <c r="O8" s="67" t="s">
        <v>8</v>
      </c>
      <c r="P8" s="67" t="s">
        <v>46</v>
      </c>
      <c r="Q8" s="68" t="s">
        <v>38</v>
      </c>
      <c r="R8" s="210" t="s">
        <v>37</v>
      </c>
      <c r="S8" s="194" t="s">
        <v>47</v>
      </c>
      <c r="T8" s="194" t="s">
        <v>48</v>
      </c>
      <c r="U8" s="194" t="s">
        <v>49</v>
      </c>
      <c r="V8" s="287" t="s">
        <v>39</v>
      </c>
    </row>
    <row r="9" spans="1:22" ht="15" customHeight="1" x14ac:dyDescent="0.25">
      <c r="A9" s="331" t="s">
        <v>32</v>
      </c>
      <c r="B9" s="211">
        <v>2017</v>
      </c>
      <c r="C9" s="196">
        <v>45000</v>
      </c>
      <c r="D9" s="4">
        <v>0.06</v>
      </c>
      <c r="E9" s="21">
        <f xml:space="preserve"> (D9*C9)</f>
        <v>2700</v>
      </c>
      <c r="F9" s="21">
        <v>45.5</v>
      </c>
      <c r="G9" s="21">
        <v>85</v>
      </c>
      <c r="H9" s="21">
        <v>0</v>
      </c>
      <c r="I9" s="21">
        <v>8500</v>
      </c>
      <c r="J9" s="21">
        <v>2000</v>
      </c>
      <c r="K9" s="21">
        <v>576.31500000000005</v>
      </c>
      <c r="L9" s="118">
        <f>F9+F13</f>
        <v>85</v>
      </c>
      <c r="M9" s="21">
        <v>106</v>
      </c>
      <c r="N9" s="21">
        <v>202</v>
      </c>
      <c r="O9" s="21">
        <v>1196</v>
      </c>
      <c r="P9" s="21">
        <v>4716</v>
      </c>
      <c r="Q9" s="288">
        <f>C9-P9</f>
        <v>40284</v>
      </c>
      <c r="R9" s="21">
        <f>C9+E9+G9-(I9+J9)</f>
        <v>37285</v>
      </c>
      <c r="S9" s="21">
        <f>L9+K9+M9+N9+O9+K10+M10+N10+O10+K11+M11+N11+O11+K12+M12+N12+O12+K13+M13+N13+O13</f>
        <v>17465.03</v>
      </c>
      <c r="T9" s="34">
        <v>1.6299999999999999E-2</v>
      </c>
      <c r="U9" s="34">
        <f>(1+0.02)*(1+0.02)*(1+0.03)*(1+0.03)*(1+0.01)</f>
        <v>1.1147979636000001</v>
      </c>
      <c r="V9" s="260">
        <f>R9+((S9/U2)-((C9-34245)/U2))</f>
        <v>43304.054769647584</v>
      </c>
    </row>
    <row r="10" spans="1:22" x14ac:dyDescent="0.25">
      <c r="A10" s="332"/>
      <c r="B10" s="211">
        <v>2018</v>
      </c>
      <c r="C10" s="196">
        <v>45000</v>
      </c>
      <c r="D10">
        <v>0</v>
      </c>
      <c r="E10">
        <f xml:space="preserve"> (D10*C10)</f>
        <v>0</v>
      </c>
      <c r="F10" s="21">
        <v>0</v>
      </c>
      <c r="G10" s="21">
        <v>0</v>
      </c>
      <c r="H10" s="21">
        <v>0</v>
      </c>
      <c r="I10" s="21">
        <v>0</v>
      </c>
      <c r="J10" s="21">
        <v>0</v>
      </c>
      <c r="K10" s="21">
        <v>562.54500000000007</v>
      </c>
      <c r="L10" s="116"/>
      <c r="M10" s="21">
        <v>1092</v>
      </c>
      <c r="N10" s="21">
        <v>152</v>
      </c>
      <c r="O10" s="21">
        <v>1282</v>
      </c>
      <c r="P10" s="21">
        <v>1776</v>
      </c>
      <c r="Q10" s="162">
        <f>Q9-P10</f>
        <v>38508</v>
      </c>
      <c r="T10" s="21">
        <v>2.46E-2</v>
      </c>
      <c r="U10" s="21"/>
    </row>
    <row r="11" spans="1:22" x14ac:dyDescent="0.25">
      <c r="A11" s="332"/>
      <c r="B11" s="211">
        <v>2019</v>
      </c>
      <c r="C11" s="196">
        <v>45000</v>
      </c>
      <c r="D11">
        <v>0</v>
      </c>
      <c r="E11">
        <f xml:space="preserve"> (D11*C11)</f>
        <v>0</v>
      </c>
      <c r="F11" s="21">
        <v>0</v>
      </c>
      <c r="G11" s="21">
        <v>0</v>
      </c>
      <c r="H11" s="21">
        <v>0</v>
      </c>
      <c r="I11" s="21">
        <v>0</v>
      </c>
      <c r="J11" s="21">
        <v>0</v>
      </c>
      <c r="K11" s="21">
        <v>558.90000000000009</v>
      </c>
      <c r="L11" s="116"/>
      <c r="M11" s="21">
        <v>1125</v>
      </c>
      <c r="N11" s="21">
        <v>1629</v>
      </c>
      <c r="O11" s="21">
        <v>1374</v>
      </c>
      <c r="P11" s="21">
        <v>1566</v>
      </c>
      <c r="Q11" s="162">
        <f t="shared" ref="Q11:Q13" si="1">Q10-P11</f>
        <v>36942</v>
      </c>
      <c r="T11" s="21">
        <v>2.75E-2</v>
      </c>
      <c r="U11" s="21"/>
    </row>
    <row r="12" spans="1:22" x14ac:dyDescent="0.25">
      <c r="A12" s="332"/>
      <c r="B12" s="211">
        <v>2020</v>
      </c>
      <c r="C12" s="196">
        <v>45000</v>
      </c>
      <c r="D12">
        <v>0</v>
      </c>
      <c r="E12">
        <f xml:space="preserve"> (D12*C12)</f>
        <v>0</v>
      </c>
      <c r="F12" s="21">
        <v>0</v>
      </c>
      <c r="G12" s="21">
        <v>0</v>
      </c>
      <c r="H12" s="21">
        <v>0</v>
      </c>
      <c r="I12" s="21">
        <v>0</v>
      </c>
      <c r="J12" s="21">
        <v>0</v>
      </c>
      <c r="K12" s="21">
        <v>549.99</v>
      </c>
      <c r="L12" s="116"/>
      <c r="M12" s="21">
        <v>1158</v>
      </c>
      <c r="N12" s="21">
        <v>132</v>
      </c>
      <c r="O12" s="21">
        <v>1473</v>
      </c>
      <c r="P12" s="21">
        <v>1476</v>
      </c>
      <c r="Q12" s="162">
        <f t="shared" si="1"/>
        <v>35466</v>
      </c>
      <c r="T12" s="21">
        <v>2.8299999999999999E-2</v>
      </c>
      <c r="U12" s="21"/>
    </row>
    <row r="13" spans="1:22" s="54" customFormat="1" x14ac:dyDescent="0.25">
      <c r="A13" s="333"/>
      <c r="B13" s="286">
        <v>2021</v>
      </c>
      <c r="C13" s="250">
        <v>45000</v>
      </c>
      <c r="D13" s="54">
        <v>0</v>
      </c>
      <c r="E13" s="54">
        <f xml:space="preserve"> (D13*C13)</f>
        <v>0</v>
      </c>
      <c r="F13" s="50">
        <v>39.5</v>
      </c>
      <c r="G13" s="50">
        <v>0</v>
      </c>
      <c r="H13" s="50">
        <v>0</v>
      </c>
      <c r="I13" s="50">
        <v>0</v>
      </c>
      <c r="J13" s="50">
        <v>0</v>
      </c>
      <c r="K13" s="50">
        <v>557.28000000000009</v>
      </c>
      <c r="L13" s="119"/>
      <c r="M13" s="50">
        <v>1193</v>
      </c>
      <c r="N13" s="50">
        <v>886</v>
      </c>
      <c r="O13" s="50">
        <v>1575</v>
      </c>
      <c r="P13" s="50">
        <v>1221</v>
      </c>
      <c r="Q13" s="290">
        <f t="shared" si="1"/>
        <v>34245</v>
      </c>
      <c r="T13" s="50">
        <v>9.1999999999999998E-3</v>
      </c>
      <c r="U13" s="50"/>
      <c r="V13" s="263"/>
    </row>
    <row r="16" spans="1:22" x14ac:dyDescent="0.25">
      <c r="A16" s="58" t="s">
        <v>31</v>
      </c>
      <c r="B16" t="s">
        <v>122</v>
      </c>
    </row>
    <row r="18" spans="1:2" x14ac:dyDescent="0.25">
      <c r="A18" s="58" t="s">
        <v>103</v>
      </c>
      <c r="B18" s="20" t="s">
        <v>123</v>
      </c>
    </row>
    <row r="19" spans="1:2" x14ac:dyDescent="0.25">
      <c r="B19" s="20" t="s">
        <v>127</v>
      </c>
    </row>
  </sheetData>
  <mergeCells count="2">
    <mergeCell ref="A2:A6"/>
    <mergeCell ref="A9:A13"/>
  </mergeCells>
  <hyperlinks>
    <hyperlink ref="B18" r:id="rId1" xr:uid="{1B761798-609F-4E23-B90E-BBC86BF7DCF6}"/>
    <hyperlink ref="B19" r:id="rId2" display="https://www.dot.state.pa.us/public/dvspubsforms/bmv/bmv%20fact%20sheets/fs-buysell.pdf" xr:uid="{84C99156-4FAF-4D58-AA64-DFC6D8B2A28E}"/>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65C24-169E-4A0A-AB52-12C1F1AE3B6F}">
  <dimension ref="A1:V19"/>
  <sheetViews>
    <sheetView topLeftCell="N1" zoomScale="120" zoomScaleNormal="120" workbookViewId="0">
      <selection activeCell="V9" sqref="V9"/>
    </sheetView>
  </sheetViews>
  <sheetFormatPr baseColWidth="10" defaultRowHeight="15" x14ac:dyDescent="0.25"/>
  <cols>
    <col min="4" max="4" width="13.42578125" customWidth="1"/>
    <col min="6" max="6" width="13.28515625" customWidth="1"/>
    <col min="10" max="10" width="12.7109375" customWidth="1"/>
  </cols>
  <sheetData>
    <row r="1" spans="1:22" s="54" customFormat="1" ht="105" x14ac:dyDescent="0.25">
      <c r="A1" s="186" t="s">
        <v>55</v>
      </c>
      <c r="B1" s="187" t="s">
        <v>14</v>
      </c>
      <c r="C1" s="187" t="s">
        <v>0</v>
      </c>
      <c r="D1" s="187" t="s">
        <v>131</v>
      </c>
      <c r="E1" s="187" t="s">
        <v>69</v>
      </c>
      <c r="F1" s="187" t="s">
        <v>121</v>
      </c>
      <c r="G1" s="187" t="s">
        <v>4</v>
      </c>
      <c r="H1" s="188" t="s">
        <v>56</v>
      </c>
      <c r="I1" s="187" t="s">
        <v>5</v>
      </c>
      <c r="J1" s="187" t="s">
        <v>6</v>
      </c>
      <c r="K1" s="189" t="s">
        <v>34</v>
      </c>
      <c r="L1" s="187" t="s">
        <v>24</v>
      </c>
      <c r="M1" s="190" t="s">
        <v>7</v>
      </c>
      <c r="N1" s="187" t="s">
        <v>45</v>
      </c>
      <c r="O1" s="187" t="s">
        <v>8</v>
      </c>
      <c r="P1" s="187" t="s">
        <v>46</v>
      </c>
      <c r="Q1" s="186" t="s">
        <v>38</v>
      </c>
      <c r="R1" s="199" t="s">
        <v>37</v>
      </c>
      <c r="S1" s="192" t="s">
        <v>47</v>
      </c>
      <c r="T1" s="192" t="s">
        <v>48</v>
      </c>
      <c r="U1" s="192" t="s">
        <v>49</v>
      </c>
      <c r="V1" s="273" t="s">
        <v>39</v>
      </c>
    </row>
    <row r="2" spans="1:22" ht="15" customHeight="1" x14ac:dyDescent="0.25">
      <c r="A2" s="331" t="s">
        <v>17</v>
      </c>
      <c r="B2" s="211">
        <v>2017</v>
      </c>
      <c r="C2" s="196">
        <v>24000</v>
      </c>
      <c r="D2" s="4">
        <v>0</v>
      </c>
      <c r="E2" s="22">
        <f>(D2*C2)</f>
        <v>0</v>
      </c>
      <c r="F2" s="21">
        <v>43</v>
      </c>
      <c r="G2" s="21">
        <v>106</v>
      </c>
      <c r="H2" s="12"/>
      <c r="I2">
        <v>0</v>
      </c>
      <c r="J2" s="12"/>
      <c r="K2" s="21">
        <v>1267.0649999999998</v>
      </c>
      <c r="L2" s="22">
        <f>F2+F4+F6</f>
        <v>165</v>
      </c>
      <c r="M2" s="21">
        <v>922</v>
      </c>
      <c r="N2" s="21">
        <v>814</v>
      </c>
      <c r="O2" s="21">
        <v>364</v>
      </c>
      <c r="P2" s="21">
        <v>4891</v>
      </c>
      <c r="Q2" s="288">
        <f>C2-P2</f>
        <v>19109</v>
      </c>
      <c r="R2" s="21">
        <f>C2+G2</f>
        <v>24106</v>
      </c>
      <c r="S2" s="21">
        <f>L2+K2+M2+N2+O2+K3+M3+N3+O3+K4+M4+N4+O4+K5+M5+N5+O5+K6+M6+N6+O6</f>
        <v>18774.32</v>
      </c>
      <c r="T2" s="34">
        <v>1.6299999999999999E-2</v>
      </c>
      <c r="U2" s="34">
        <f>(1+0.02)*(1+0.02)*(1+0.03)*(1+0.03)*(1+0.01)</f>
        <v>1.1147979636000001</v>
      </c>
      <c r="V2" s="260">
        <f>R2+((S2/U2)-((C2-13847)/U2))</f>
        <v>31839.526864508527</v>
      </c>
    </row>
    <row r="3" spans="1:22" x14ac:dyDescent="0.25">
      <c r="A3" s="332"/>
      <c r="B3" s="211">
        <v>2018</v>
      </c>
      <c r="C3" s="196">
        <v>24000</v>
      </c>
      <c r="D3" s="22">
        <v>0</v>
      </c>
      <c r="E3" s="22">
        <f>(D3*C3)</f>
        <v>0</v>
      </c>
      <c r="F3" s="21">
        <v>0</v>
      </c>
      <c r="G3" s="21">
        <v>0</v>
      </c>
      <c r="H3" s="12"/>
      <c r="I3">
        <v>0</v>
      </c>
      <c r="J3" s="12"/>
      <c r="K3" s="21">
        <v>1455.7649999999999</v>
      </c>
      <c r="L3" s="3"/>
      <c r="M3" s="21">
        <v>950</v>
      </c>
      <c r="N3" s="21">
        <v>318</v>
      </c>
      <c r="O3" s="21">
        <v>423</v>
      </c>
      <c r="P3" s="21">
        <v>979</v>
      </c>
      <c r="Q3" s="288">
        <f>Q2-P3</f>
        <v>18130</v>
      </c>
      <c r="T3" s="21">
        <v>2.46E-2</v>
      </c>
      <c r="U3" s="21"/>
      <c r="V3" s="261"/>
    </row>
    <row r="4" spans="1:22" x14ac:dyDescent="0.25">
      <c r="A4" s="332"/>
      <c r="B4" s="211">
        <v>2019</v>
      </c>
      <c r="C4" s="196">
        <v>24000</v>
      </c>
      <c r="D4" s="22">
        <v>0</v>
      </c>
      <c r="E4" s="22">
        <f>(D4*C4)</f>
        <v>0</v>
      </c>
      <c r="F4" s="21">
        <v>56</v>
      </c>
      <c r="G4" s="21">
        <v>0</v>
      </c>
      <c r="H4" s="12"/>
      <c r="I4">
        <v>0</v>
      </c>
      <c r="J4" s="12"/>
      <c r="K4" s="21">
        <v>1386.39</v>
      </c>
      <c r="L4" s="3"/>
      <c r="M4" s="21">
        <v>978</v>
      </c>
      <c r="N4" s="21">
        <v>1725</v>
      </c>
      <c r="O4" s="21">
        <v>491</v>
      </c>
      <c r="P4" s="21">
        <v>1701</v>
      </c>
      <c r="Q4" s="288">
        <f t="shared" ref="Q4:Q6" si="0">Q3-P4</f>
        <v>16429</v>
      </c>
      <c r="T4" s="21">
        <v>2.75E-2</v>
      </c>
      <c r="U4" s="21"/>
      <c r="V4" s="261"/>
    </row>
    <row r="5" spans="1:22" x14ac:dyDescent="0.25">
      <c r="A5" s="332"/>
      <c r="B5" s="211">
        <v>2020</v>
      </c>
      <c r="C5" s="196">
        <v>24000</v>
      </c>
      <c r="D5" s="22">
        <v>0</v>
      </c>
      <c r="E5" s="22">
        <f>(D5*C5)</f>
        <v>0</v>
      </c>
      <c r="F5" s="21">
        <v>0</v>
      </c>
      <c r="G5" s="21">
        <v>0</v>
      </c>
      <c r="H5" s="12"/>
      <c r="I5">
        <v>0</v>
      </c>
      <c r="J5" s="12"/>
      <c r="K5" s="21">
        <v>1092.7950000000001</v>
      </c>
      <c r="L5" s="3"/>
      <c r="M5" s="21">
        <v>1007</v>
      </c>
      <c r="N5" s="21">
        <v>432</v>
      </c>
      <c r="O5" s="21">
        <v>572</v>
      </c>
      <c r="P5" s="21">
        <v>1654</v>
      </c>
      <c r="Q5" s="288">
        <f t="shared" si="0"/>
        <v>14775</v>
      </c>
      <c r="T5" s="21">
        <v>2.8299999999999999E-2</v>
      </c>
      <c r="U5" s="21"/>
      <c r="V5" s="261"/>
    </row>
    <row r="6" spans="1:22" s="54" customFormat="1" x14ac:dyDescent="0.25">
      <c r="A6" s="333"/>
      <c r="B6" s="211">
        <v>2021</v>
      </c>
      <c r="C6" s="196">
        <v>24000</v>
      </c>
      <c r="D6" s="251">
        <v>0</v>
      </c>
      <c r="E6" s="251">
        <f>(D6*C6)</f>
        <v>0</v>
      </c>
      <c r="F6" s="50">
        <v>66</v>
      </c>
      <c r="G6" s="50">
        <v>0</v>
      </c>
      <c r="H6" s="103"/>
      <c r="I6" s="54">
        <v>0</v>
      </c>
      <c r="J6" s="103"/>
      <c r="K6" s="50">
        <v>1582.3050000000001</v>
      </c>
      <c r="L6" s="63"/>
      <c r="M6" s="290">
        <v>1038</v>
      </c>
      <c r="N6" s="290">
        <v>1127</v>
      </c>
      <c r="O6" s="290">
        <v>664</v>
      </c>
      <c r="P6" s="290">
        <v>1276</v>
      </c>
      <c r="Q6" s="289">
        <f t="shared" si="0"/>
        <v>13499</v>
      </c>
      <c r="T6" s="50">
        <v>9.1999999999999998E-3</v>
      </c>
      <c r="U6" s="50"/>
      <c r="V6" s="263"/>
    </row>
    <row r="7" spans="1:22" x14ac:dyDescent="0.25">
      <c r="A7" s="131"/>
      <c r="B7" s="14"/>
      <c r="C7" s="15"/>
      <c r="D7" s="3"/>
      <c r="E7" s="5"/>
      <c r="L7" s="3"/>
      <c r="M7" s="25"/>
      <c r="N7" s="25"/>
      <c r="O7" s="25"/>
      <c r="P7" s="25"/>
      <c r="Q7" s="293"/>
      <c r="R7" s="28"/>
      <c r="S7" s="28"/>
      <c r="V7" s="261"/>
    </row>
    <row r="8" spans="1:22" s="221" customFormat="1" ht="105" x14ac:dyDescent="0.25">
      <c r="A8" s="68" t="s">
        <v>55</v>
      </c>
      <c r="B8" s="67" t="s">
        <v>14</v>
      </c>
      <c r="C8" s="67" t="s">
        <v>0</v>
      </c>
      <c r="D8" s="67" t="s">
        <v>131</v>
      </c>
      <c r="E8" s="67" t="s">
        <v>69</v>
      </c>
      <c r="F8" s="67" t="s">
        <v>121</v>
      </c>
      <c r="G8" s="67" t="s">
        <v>4</v>
      </c>
      <c r="H8" s="66" t="s">
        <v>56</v>
      </c>
      <c r="I8" s="67" t="s">
        <v>5</v>
      </c>
      <c r="J8" s="67" t="s">
        <v>6</v>
      </c>
      <c r="K8" s="184" t="s">
        <v>43</v>
      </c>
      <c r="L8" s="67" t="s">
        <v>24</v>
      </c>
      <c r="M8" s="185" t="s">
        <v>7</v>
      </c>
      <c r="N8" s="67" t="s">
        <v>45</v>
      </c>
      <c r="O8" s="67" t="s">
        <v>8</v>
      </c>
      <c r="P8" s="67" t="s">
        <v>46</v>
      </c>
      <c r="Q8" s="68" t="s">
        <v>38</v>
      </c>
      <c r="R8" s="210" t="s">
        <v>37</v>
      </c>
      <c r="S8" s="194" t="s">
        <v>47</v>
      </c>
      <c r="T8" s="194" t="s">
        <v>48</v>
      </c>
      <c r="U8" s="194" t="s">
        <v>49</v>
      </c>
      <c r="V8" s="287" t="s">
        <v>39</v>
      </c>
    </row>
    <row r="9" spans="1:22" ht="15" customHeight="1" x14ac:dyDescent="0.25">
      <c r="A9" s="331" t="s">
        <v>32</v>
      </c>
      <c r="B9" s="211">
        <v>2017</v>
      </c>
      <c r="C9" s="196">
        <v>45000</v>
      </c>
      <c r="D9" s="4">
        <v>0</v>
      </c>
      <c r="E9" s="22">
        <f>(D9*C9)</f>
        <v>0</v>
      </c>
      <c r="F9" s="21">
        <v>43</v>
      </c>
      <c r="G9" s="21">
        <v>192</v>
      </c>
      <c r="H9" s="28">
        <v>0</v>
      </c>
      <c r="I9" s="21">
        <v>8500</v>
      </c>
      <c r="J9" s="21">
        <v>2500</v>
      </c>
      <c r="K9" s="21">
        <v>431.73</v>
      </c>
      <c r="L9" s="21">
        <f>F9+F11+F13</f>
        <v>252</v>
      </c>
      <c r="M9" s="21">
        <v>1273</v>
      </c>
      <c r="N9" s="21">
        <v>213</v>
      </c>
      <c r="O9" s="21">
        <v>1322</v>
      </c>
      <c r="P9" s="21">
        <v>4716</v>
      </c>
      <c r="Q9" s="71">
        <f>C9-P9</f>
        <v>40284</v>
      </c>
      <c r="R9" s="71">
        <f>C9+G9-(I9+J9)</f>
        <v>34192</v>
      </c>
      <c r="S9" s="71">
        <f>L9+K9+M9+N9+O9+K10+M10+N10+O10+K11+M11+N11+O11+K12+M12+N12+O12+K13+M13+N13+O13</f>
        <v>19868.195</v>
      </c>
      <c r="T9" s="34">
        <v>1.6299999999999999E-2</v>
      </c>
      <c r="U9" s="34">
        <f>(1+0.02)*(1+0.02)*(1+0.03)*(1+0.03)*(1+0.01)</f>
        <v>1.1147979636000001</v>
      </c>
      <c r="V9" s="294">
        <f>R9+((S9/U2)-((C9-34245)/U2))</f>
        <v>42366.75031132179</v>
      </c>
    </row>
    <row r="10" spans="1:22" x14ac:dyDescent="0.25">
      <c r="A10" s="332"/>
      <c r="B10" s="211">
        <v>2018</v>
      </c>
      <c r="C10" s="196">
        <v>45000</v>
      </c>
      <c r="D10" s="22">
        <v>0</v>
      </c>
      <c r="E10" s="22">
        <f>(D10*C10)</f>
        <v>0</v>
      </c>
      <c r="F10" s="21">
        <v>0</v>
      </c>
      <c r="G10" s="21">
        <v>0</v>
      </c>
      <c r="H10" s="28">
        <v>0</v>
      </c>
      <c r="I10" s="21">
        <v>0</v>
      </c>
      <c r="J10" s="21"/>
      <c r="K10" s="21">
        <v>444.69000000000005</v>
      </c>
      <c r="M10" s="21">
        <v>1311</v>
      </c>
      <c r="N10" s="21">
        <v>165</v>
      </c>
      <c r="O10" s="21">
        <v>1415</v>
      </c>
      <c r="P10" s="21">
        <v>1776</v>
      </c>
      <c r="Q10" s="71">
        <f>Q9-P10</f>
        <v>38508</v>
      </c>
      <c r="R10" s="25"/>
      <c r="S10" s="71"/>
      <c r="T10" s="21">
        <v>2.46E-2</v>
      </c>
      <c r="U10" s="21"/>
      <c r="V10" s="292"/>
    </row>
    <row r="11" spans="1:22" x14ac:dyDescent="0.25">
      <c r="A11" s="332"/>
      <c r="B11" s="211">
        <v>2019</v>
      </c>
      <c r="C11" s="196">
        <v>45000</v>
      </c>
      <c r="D11" s="22">
        <v>0</v>
      </c>
      <c r="E11" s="22">
        <f>(D11*C11)</f>
        <v>0</v>
      </c>
      <c r="F11" s="21">
        <v>56</v>
      </c>
      <c r="G11" s="21">
        <v>0</v>
      </c>
      <c r="H11">
        <v>0</v>
      </c>
      <c r="I11" s="21">
        <v>0</v>
      </c>
      <c r="J11" s="21"/>
      <c r="K11" s="21">
        <v>445.90500000000003</v>
      </c>
      <c r="M11" s="21">
        <v>1351</v>
      </c>
      <c r="N11" s="21">
        <v>1603</v>
      </c>
      <c r="O11" s="21">
        <v>1514</v>
      </c>
      <c r="P11" s="21">
        <v>1566</v>
      </c>
      <c r="Q11" s="71">
        <f t="shared" ref="Q11:Q13" si="1">Q10-P11</f>
        <v>36942</v>
      </c>
      <c r="R11" s="25"/>
      <c r="S11" s="71"/>
      <c r="T11" s="21">
        <v>2.75E-2</v>
      </c>
      <c r="U11" s="21"/>
      <c r="V11" s="25"/>
    </row>
    <row r="12" spans="1:22" x14ac:dyDescent="0.25">
      <c r="A12" s="332"/>
      <c r="B12" s="211">
        <v>2020</v>
      </c>
      <c r="C12" s="196">
        <v>45000</v>
      </c>
      <c r="D12" s="22">
        <v>0</v>
      </c>
      <c r="E12" s="22">
        <f>(D12*C12)</f>
        <v>0</v>
      </c>
      <c r="F12" s="21">
        <v>0</v>
      </c>
      <c r="G12" s="21">
        <v>0</v>
      </c>
      <c r="H12">
        <v>0</v>
      </c>
      <c r="I12" s="21">
        <v>0</v>
      </c>
      <c r="J12" s="21"/>
      <c r="K12" s="21">
        <v>452.38500000000005</v>
      </c>
      <c r="M12" s="21">
        <v>1391</v>
      </c>
      <c r="N12" s="21">
        <v>141</v>
      </c>
      <c r="O12" s="21">
        <v>1619</v>
      </c>
      <c r="P12" s="21">
        <v>1476</v>
      </c>
      <c r="Q12" s="71">
        <f t="shared" si="1"/>
        <v>35466</v>
      </c>
      <c r="R12" s="25"/>
      <c r="S12" s="71"/>
      <c r="T12" s="21">
        <v>2.8299999999999999E-2</v>
      </c>
      <c r="U12" s="21"/>
      <c r="V12" s="25"/>
    </row>
    <row r="13" spans="1:22" s="54" customFormat="1" x14ac:dyDescent="0.25">
      <c r="A13" s="333"/>
      <c r="B13" s="61">
        <v>2021</v>
      </c>
      <c r="C13" s="250">
        <v>45000</v>
      </c>
      <c r="D13" s="251">
        <v>0</v>
      </c>
      <c r="E13" s="251">
        <f>(D13*C13)</f>
        <v>0</v>
      </c>
      <c r="F13" s="50">
        <v>153</v>
      </c>
      <c r="G13" s="50">
        <v>0</v>
      </c>
      <c r="H13" s="54">
        <v>0</v>
      </c>
      <c r="I13" s="50">
        <v>0</v>
      </c>
      <c r="J13" s="50"/>
      <c r="K13" s="50">
        <v>460.48500000000001</v>
      </c>
      <c r="M13" s="290">
        <v>1433</v>
      </c>
      <c r="N13" s="290">
        <v>901</v>
      </c>
      <c r="O13" s="290">
        <v>1729</v>
      </c>
      <c r="P13" s="290">
        <v>1221</v>
      </c>
      <c r="Q13" s="291">
        <f t="shared" si="1"/>
        <v>34245</v>
      </c>
      <c r="R13" s="27"/>
      <c r="S13" s="27"/>
      <c r="T13" s="50">
        <v>9.1999999999999998E-3</v>
      </c>
      <c r="U13" s="50"/>
      <c r="V13" s="27"/>
    </row>
    <row r="14" spans="1:22" s="28" customFormat="1" x14ac:dyDescent="0.25">
      <c r="A14" s="212"/>
      <c r="B14" s="89"/>
      <c r="C14" s="55"/>
      <c r="M14" s="25"/>
      <c r="N14" s="25"/>
      <c r="O14" s="25"/>
      <c r="P14" s="25"/>
      <c r="Q14" s="162"/>
      <c r="R14" s="25"/>
      <c r="S14" s="25"/>
      <c r="T14" s="71"/>
      <c r="U14" s="71"/>
      <c r="V14" s="25"/>
    </row>
    <row r="15" spans="1:22" x14ac:dyDescent="0.25">
      <c r="A15" s="58" t="s">
        <v>31</v>
      </c>
      <c r="B15" t="s">
        <v>130</v>
      </c>
      <c r="Q15" s="162"/>
      <c r="R15" s="25"/>
      <c r="S15" s="25"/>
      <c r="T15" s="71"/>
      <c r="U15" s="71"/>
      <c r="V15" s="25"/>
    </row>
    <row r="16" spans="1:22" x14ac:dyDescent="0.25">
      <c r="A16" s="58"/>
      <c r="B16" t="s">
        <v>132</v>
      </c>
      <c r="Q16" s="162"/>
      <c r="R16" s="25"/>
      <c r="S16" s="25"/>
      <c r="T16" s="71"/>
      <c r="U16" s="71"/>
      <c r="V16" s="25"/>
    </row>
    <row r="18" spans="1:2" x14ac:dyDescent="0.25">
      <c r="A18" s="58" t="s">
        <v>103</v>
      </c>
      <c r="B18" t="s">
        <v>129</v>
      </c>
    </row>
    <row r="19" spans="1:2" x14ac:dyDescent="0.25">
      <c r="B19" t="s">
        <v>133</v>
      </c>
    </row>
  </sheetData>
  <mergeCells count="2">
    <mergeCell ref="A2:A6"/>
    <mergeCell ref="A9:A13"/>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A8AD5-E24C-488C-B602-1DBE245B8265}">
  <dimension ref="A1:X21"/>
  <sheetViews>
    <sheetView topLeftCell="C1" workbookViewId="0">
      <selection activeCell="X9" sqref="X9"/>
    </sheetView>
  </sheetViews>
  <sheetFormatPr baseColWidth="10" defaultRowHeight="15" x14ac:dyDescent="0.25"/>
  <cols>
    <col min="4" max="4" width="12" customWidth="1"/>
  </cols>
  <sheetData>
    <row r="1" spans="1:24" ht="105" x14ac:dyDescent="0.25">
      <c r="A1" s="232" t="s">
        <v>55</v>
      </c>
      <c r="B1" s="29" t="s">
        <v>14</v>
      </c>
      <c r="C1" s="29" t="s">
        <v>0</v>
      </c>
      <c r="D1" s="303" t="s">
        <v>172</v>
      </c>
      <c r="E1" s="303" t="s">
        <v>171</v>
      </c>
      <c r="F1" s="303" t="s">
        <v>176</v>
      </c>
      <c r="G1" s="303" t="s">
        <v>177</v>
      </c>
      <c r="H1" s="303" t="s">
        <v>179</v>
      </c>
      <c r="I1" s="303" t="s">
        <v>180</v>
      </c>
      <c r="J1" s="41" t="s">
        <v>56</v>
      </c>
      <c r="K1" s="29" t="s">
        <v>5</v>
      </c>
      <c r="L1" s="29" t="s">
        <v>6</v>
      </c>
      <c r="M1" s="307" t="s">
        <v>34</v>
      </c>
      <c r="N1" s="309" t="s">
        <v>24</v>
      </c>
      <c r="O1" s="303" t="s">
        <v>7</v>
      </c>
      <c r="P1" s="303" t="s">
        <v>45</v>
      </c>
      <c r="Q1" s="303" t="s">
        <v>8</v>
      </c>
      <c r="R1" s="303" t="s">
        <v>46</v>
      </c>
      <c r="S1" s="99" t="s">
        <v>38</v>
      </c>
      <c r="T1" s="43" t="s">
        <v>37</v>
      </c>
      <c r="U1" s="42" t="s">
        <v>47</v>
      </c>
      <c r="V1" s="42" t="s">
        <v>48</v>
      </c>
      <c r="W1" s="42" t="s">
        <v>49</v>
      </c>
      <c r="X1" s="259" t="s">
        <v>39</v>
      </c>
    </row>
    <row r="2" spans="1:24" x14ac:dyDescent="0.25">
      <c r="A2" s="334" t="s">
        <v>17</v>
      </c>
      <c r="B2" s="131">
        <v>2017</v>
      </c>
      <c r="C2" s="301">
        <v>24000</v>
      </c>
      <c r="D2" s="306">
        <v>2.4E-2</v>
      </c>
      <c r="E2" s="96">
        <f>C2*D2</f>
        <v>576</v>
      </c>
      <c r="F2" s="115">
        <f>0.055*C2</f>
        <v>1320</v>
      </c>
      <c r="G2" s="115">
        <v>33</v>
      </c>
      <c r="H2" s="115">
        <v>35</v>
      </c>
      <c r="I2" s="115">
        <v>12.5</v>
      </c>
      <c r="J2" s="133">
        <v>0</v>
      </c>
      <c r="K2" s="144">
        <v>0</v>
      </c>
      <c r="L2" s="133">
        <v>0</v>
      </c>
      <c r="M2" s="150">
        <v>1200.4650000000001</v>
      </c>
      <c r="N2" s="115">
        <f>E2+E3+E4+E5+I2+I3+I4+I5+I6+E6</f>
        <v>1778.5</v>
      </c>
      <c r="O2" s="77">
        <v>485</v>
      </c>
      <c r="P2" s="78">
        <v>737</v>
      </c>
      <c r="Q2" s="78">
        <v>307</v>
      </c>
      <c r="R2" s="78">
        <v>485</v>
      </c>
      <c r="S2" s="157">
        <f>C2-R2</f>
        <v>23515</v>
      </c>
      <c r="T2" s="165">
        <f>C2+F2+G2+H2</f>
        <v>25388</v>
      </c>
      <c r="U2" s="115">
        <f>N2+M2+O2+P2+Q2+M3+O3+P3+Q3+M4+O4+P4+Q4+M5+O5+P5+Q5+M6+O6+P6+Q6</f>
        <v>16843.384999999998</v>
      </c>
      <c r="V2" s="34">
        <v>1.6299999999999999E-2</v>
      </c>
      <c r="W2" s="115">
        <f>(1+0.02)*(1+0.02)*(1+0.03)*(1+0.03)*(1+0.01)</f>
        <v>1.1147979636000001</v>
      </c>
      <c r="X2" s="265">
        <f>T2+((U2/W2)-((C2-17953)/W2))</f>
        <v>35072.611339919742</v>
      </c>
    </row>
    <row r="3" spans="1:24" x14ac:dyDescent="0.25">
      <c r="A3" s="328"/>
      <c r="B3" s="135">
        <v>2018</v>
      </c>
      <c r="C3" s="313">
        <v>24000</v>
      </c>
      <c r="D3" s="312">
        <v>1.7500000000000002E-2</v>
      </c>
      <c r="E3" s="247">
        <f t="shared" ref="E3:E6" si="0">C3*D3</f>
        <v>420.00000000000006</v>
      </c>
      <c r="F3" s="118"/>
      <c r="G3" s="149">
        <v>0</v>
      </c>
      <c r="H3" s="149"/>
      <c r="I3" s="128">
        <v>12.5</v>
      </c>
      <c r="J3" s="137">
        <v>0</v>
      </c>
      <c r="K3" s="145">
        <v>0</v>
      </c>
      <c r="L3" s="137">
        <v>0</v>
      </c>
      <c r="M3" s="151">
        <v>1375.2899999999997</v>
      </c>
      <c r="N3" s="153"/>
      <c r="O3" s="299">
        <v>500</v>
      </c>
      <c r="P3" s="21">
        <v>268</v>
      </c>
      <c r="Q3" s="21">
        <v>358</v>
      </c>
      <c r="R3" s="21">
        <v>971</v>
      </c>
      <c r="S3" s="118">
        <f>S2-R3</f>
        <v>22544</v>
      </c>
      <c r="T3" s="166"/>
      <c r="U3" s="116"/>
      <c r="V3" s="21">
        <v>2.46E-2</v>
      </c>
      <c r="W3" s="25"/>
      <c r="X3" s="266"/>
    </row>
    <row r="4" spans="1:24" x14ac:dyDescent="0.25">
      <c r="A4" s="328"/>
      <c r="B4" s="135">
        <v>2019</v>
      </c>
      <c r="C4" s="313">
        <v>24000</v>
      </c>
      <c r="D4" s="312">
        <v>1.35E-2</v>
      </c>
      <c r="E4" s="247">
        <f t="shared" si="0"/>
        <v>324</v>
      </c>
      <c r="F4" s="128"/>
      <c r="G4" s="149">
        <v>0</v>
      </c>
      <c r="H4" s="149"/>
      <c r="I4" s="128">
        <v>12.5</v>
      </c>
      <c r="J4" s="137">
        <v>0</v>
      </c>
      <c r="K4" s="145">
        <v>0</v>
      </c>
      <c r="L4" s="137">
        <v>0</v>
      </c>
      <c r="M4" s="151">
        <v>1291.4849999999999</v>
      </c>
      <c r="N4" s="153"/>
      <c r="O4" s="299">
        <v>515</v>
      </c>
      <c r="P4" s="21">
        <v>1625</v>
      </c>
      <c r="Q4" s="21">
        <v>417</v>
      </c>
      <c r="R4" s="21">
        <v>1686</v>
      </c>
      <c r="S4" s="118">
        <f t="shared" ref="S4:S6" si="1">S3-R4</f>
        <v>20858</v>
      </c>
      <c r="T4" s="166"/>
      <c r="U4" s="116"/>
      <c r="V4" s="21">
        <v>2.75E-2</v>
      </c>
      <c r="W4" s="25"/>
      <c r="X4" s="266"/>
    </row>
    <row r="5" spans="1:24" x14ac:dyDescent="0.25">
      <c r="A5" s="328"/>
      <c r="B5" s="135">
        <v>2020</v>
      </c>
      <c r="C5" s="313">
        <v>24000</v>
      </c>
      <c r="D5" s="312">
        <v>0.01</v>
      </c>
      <c r="E5" s="247">
        <f t="shared" si="0"/>
        <v>240</v>
      </c>
      <c r="F5" s="118"/>
      <c r="G5" s="149">
        <v>0</v>
      </c>
      <c r="H5" s="149"/>
      <c r="I5" s="128">
        <v>12.5</v>
      </c>
      <c r="J5" s="137">
        <v>0</v>
      </c>
      <c r="K5" s="145">
        <v>0</v>
      </c>
      <c r="L5" s="137">
        <v>0</v>
      </c>
      <c r="M5" s="151">
        <v>995.11500000000001</v>
      </c>
      <c r="N5" s="153"/>
      <c r="O5" s="299">
        <v>530</v>
      </c>
      <c r="P5" s="21">
        <v>381</v>
      </c>
      <c r="Q5" s="21">
        <v>487</v>
      </c>
      <c r="R5" s="21">
        <v>1640</v>
      </c>
      <c r="S5" s="118">
        <f t="shared" si="1"/>
        <v>19218</v>
      </c>
      <c r="T5" s="166"/>
      <c r="U5" s="116"/>
      <c r="V5" s="21">
        <v>2.8299999999999999E-2</v>
      </c>
      <c r="W5" s="25"/>
      <c r="X5" s="266"/>
    </row>
    <row r="6" spans="1:24" x14ac:dyDescent="0.25">
      <c r="A6" s="335"/>
      <c r="B6" s="135">
        <v>2021</v>
      </c>
      <c r="C6" s="313">
        <v>24000</v>
      </c>
      <c r="D6" s="312">
        <v>6.4999999999999997E-3</v>
      </c>
      <c r="E6" s="247">
        <f t="shared" si="0"/>
        <v>156</v>
      </c>
      <c r="F6" s="118"/>
      <c r="G6" s="149">
        <v>0</v>
      </c>
      <c r="H6" s="149"/>
      <c r="I6" s="128">
        <v>12.5</v>
      </c>
      <c r="J6" s="137">
        <v>0</v>
      </c>
      <c r="K6" s="145">
        <v>0</v>
      </c>
      <c r="L6" s="137">
        <v>0</v>
      </c>
      <c r="M6" s="151">
        <v>1468.5299999999997</v>
      </c>
      <c r="N6" s="154"/>
      <c r="O6" s="202">
        <v>546</v>
      </c>
      <c r="P6" s="21">
        <v>1012</v>
      </c>
      <c r="Q6" s="21">
        <v>566</v>
      </c>
      <c r="R6" s="21">
        <v>1265</v>
      </c>
      <c r="S6" s="118">
        <f t="shared" si="1"/>
        <v>17953</v>
      </c>
      <c r="T6" s="167"/>
      <c r="U6" s="116"/>
      <c r="V6" s="21">
        <v>9.1999999999999998E-3</v>
      </c>
      <c r="W6" s="25"/>
      <c r="X6" s="266"/>
    </row>
    <row r="7" spans="1:24" x14ac:dyDescent="0.25">
      <c r="A7" s="231"/>
      <c r="B7" s="138"/>
      <c r="C7" s="139"/>
      <c r="D7" s="129"/>
      <c r="E7" s="130"/>
      <c r="F7" s="140"/>
      <c r="G7" s="140"/>
      <c r="H7" s="140"/>
      <c r="I7" s="140"/>
      <c r="J7" s="140"/>
      <c r="K7" s="141"/>
      <c r="L7" s="140"/>
      <c r="M7" s="148"/>
      <c r="N7" s="140"/>
      <c r="O7" s="155"/>
      <c r="P7" s="142"/>
      <c r="Q7" s="142"/>
      <c r="R7" s="142"/>
      <c r="S7" s="140"/>
      <c r="T7" s="164"/>
      <c r="U7" s="140"/>
      <c r="V7" s="143"/>
      <c r="W7" s="140"/>
      <c r="X7" s="267"/>
    </row>
    <row r="8" spans="1:24" ht="105" x14ac:dyDescent="0.25">
      <c r="A8" s="232" t="s">
        <v>55</v>
      </c>
      <c r="B8" s="69" t="s">
        <v>14</v>
      </c>
      <c r="C8" s="69" t="s">
        <v>0</v>
      </c>
      <c r="D8" s="303" t="s">
        <v>172</v>
      </c>
      <c r="E8" s="303" t="s">
        <v>171</v>
      </c>
      <c r="F8" s="303" t="s">
        <v>176</v>
      </c>
      <c r="G8" s="303" t="s">
        <v>177</v>
      </c>
      <c r="H8" s="303" t="s">
        <v>179</v>
      </c>
      <c r="I8" s="303" t="s">
        <v>180</v>
      </c>
      <c r="J8" s="168" t="s">
        <v>56</v>
      </c>
      <c r="K8" s="69" t="s">
        <v>5</v>
      </c>
      <c r="L8" s="69" t="s">
        <v>6</v>
      </c>
      <c r="M8" s="308" t="s">
        <v>43</v>
      </c>
      <c r="N8" s="310" t="s">
        <v>24</v>
      </c>
      <c r="O8" s="304" t="s">
        <v>7</v>
      </c>
      <c r="P8" s="304" t="s">
        <v>45</v>
      </c>
      <c r="Q8" s="304" t="s">
        <v>8</v>
      </c>
      <c r="R8" s="304" t="s">
        <v>46</v>
      </c>
      <c r="S8" s="100" t="s">
        <v>38</v>
      </c>
      <c r="T8" s="43" t="s">
        <v>37</v>
      </c>
      <c r="U8" s="42" t="s">
        <v>47</v>
      </c>
      <c r="V8" s="42" t="s">
        <v>48</v>
      </c>
      <c r="W8" s="42" t="s">
        <v>49</v>
      </c>
      <c r="X8" s="259" t="s">
        <v>39</v>
      </c>
    </row>
    <row r="9" spans="1:24" x14ac:dyDescent="0.25">
      <c r="A9" s="334" t="s">
        <v>32</v>
      </c>
      <c r="B9" s="131">
        <v>2017</v>
      </c>
      <c r="C9" s="301">
        <v>45000</v>
      </c>
      <c r="D9" s="306">
        <v>2.4E-2</v>
      </c>
      <c r="E9" s="115">
        <f>D9*C9</f>
        <v>1080</v>
      </c>
      <c r="F9" s="115">
        <f>0.055*C9</f>
        <v>2475</v>
      </c>
      <c r="G9" s="115">
        <v>33</v>
      </c>
      <c r="H9" s="115">
        <v>35</v>
      </c>
      <c r="I9" s="115">
        <v>12.5</v>
      </c>
      <c r="J9" s="133">
        <v>0</v>
      </c>
      <c r="K9" s="158">
        <v>8500</v>
      </c>
      <c r="L9" s="133">
        <v>0</v>
      </c>
      <c r="M9" s="150">
        <v>646.78500000000008</v>
      </c>
      <c r="N9" s="157">
        <f>E9+E10+E11+E12+E13+I9+I10+I11+I12+I13</f>
        <v>3280</v>
      </c>
      <c r="O9" s="77">
        <v>621</v>
      </c>
      <c r="P9" s="78">
        <v>190</v>
      </c>
      <c r="Q9" s="78">
        <v>1107</v>
      </c>
      <c r="R9" s="78">
        <v>4632</v>
      </c>
      <c r="S9" s="157">
        <f>C9-R9</f>
        <v>40368</v>
      </c>
      <c r="T9" s="165">
        <f>C9+F9+G9+H9-K9</f>
        <v>39043</v>
      </c>
      <c r="U9" s="115">
        <f>N9+M9+O9+P9+Q9+M10+O10+P10+Q10+M11+O11+P11+Q11+M12+O12+P12+Q12+M13+O13+P13+Q13</f>
        <v>19303.465</v>
      </c>
      <c r="V9" s="34">
        <v>1.6299999999999999E-2</v>
      </c>
      <c r="W9" s="115">
        <f>(1+0.02)*(1+0.02)*(1+0.03)*(1+0.03)*(1+0.01)</f>
        <v>1.1147979636000001</v>
      </c>
      <c r="X9" s="265">
        <f>T9+((U9/W2)-((C9-34436)/W2))</f>
        <v>46882.505708978671</v>
      </c>
    </row>
    <row r="10" spans="1:24" x14ac:dyDescent="0.25">
      <c r="A10" s="328"/>
      <c r="B10" s="135">
        <v>2018</v>
      </c>
      <c r="C10" s="313">
        <v>45000</v>
      </c>
      <c r="D10" s="312">
        <v>1.7500000000000002E-2</v>
      </c>
      <c r="E10" s="128">
        <f t="shared" ref="E10:E13" si="2">D10*C10</f>
        <v>787.50000000000011</v>
      </c>
      <c r="F10" s="118"/>
      <c r="G10" s="149">
        <v>0</v>
      </c>
      <c r="H10" s="149"/>
      <c r="I10" s="128">
        <v>12.5</v>
      </c>
      <c r="J10" s="137">
        <v>0</v>
      </c>
      <c r="K10" s="57">
        <v>0</v>
      </c>
      <c r="L10" s="137">
        <v>0</v>
      </c>
      <c r="M10" s="152">
        <v>682.0200000000001</v>
      </c>
      <c r="N10" s="146"/>
      <c r="O10" s="21">
        <v>640</v>
      </c>
      <c r="P10" s="21">
        <v>142</v>
      </c>
      <c r="Q10" s="21">
        <v>1189</v>
      </c>
      <c r="R10" s="21">
        <v>1745</v>
      </c>
      <c r="S10" s="118">
        <f>S9-R10</f>
        <v>38623</v>
      </c>
      <c r="T10" s="166"/>
      <c r="U10" s="116"/>
      <c r="V10" s="21">
        <v>2.46E-2</v>
      </c>
      <c r="W10" s="25"/>
      <c r="X10" s="266"/>
    </row>
    <row r="11" spans="1:24" x14ac:dyDescent="0.25">
      <c r="A11" s="328"/>
      <c r="B11" s="135">
        <v>2019</v>
      </c>
      <c r="C11" s="313">
        <v>45000</v>
      </c>
      <c r="D11" s="312">
        <v>1.35E-2</v>
      </c>
      <c r="E11" s="128">
        <f t="shared" si="2"/>
        <v>607.5</v>
      </c>
      <c r="F11" s="128"/>
      <c r="G11" s="149">
        <v>0</v>
      </c>
      <c r="H11" s="149"/>
      <c r="I11" s="128">
        <v>12.5</v>
      </c>
      <c r="J11" s="137">
        <v>0</v>
      </c>
      <c r="K11" s="57">
        <v>0</v>
      </c>
      <c r="L11" s="137">
        <v>0</v>
      </c>
      <c r="M11" s="151">
        <v>724.54500000000007</v>
      </c>
      <c r="N11" s="146"/>
      <c r="O11" s="21">
        <v>659</v>
      </c>
      <c r="P11" s="21">
        <v>1586</v>
      </c>
      <c r="Q11" s="21">
        <v>1277</v>
      </c>
      <c r="R11" s="21">
        <v>1538</v>
      </c>
      <c r="S11" s="118">
        <f t="shared" ref="S11:S13" si="3">S10-R11</f>
        <v>37085</v>
      </c>
      <c r="T11" s="166"/>
      <c r="U11" s="116"/>
      <c r="V11" s="21">
        <v>2.75E-2</v>
      </c>
      <c r="W11" s="25"/>
      <c r="X11" s="266"/>
    </row>
    <row r="12" spans="1:24" x14ac:dyDescent="0.25">
      <c r="A12" s="328"/>
      <c r="B12" s="135">
        <v>2020</v>
      </c>
      <c r="C12" s="313">
        <v>45000</v>
      </c>
      <c r="D12" s="312">
        <v>0.01</v>
      </c>
      <c r="E12" s="128">
        <f t="shared" si="2"/>
        <v>450</v>
      </c>
      <c r="F12" s="118"/>
      <c r="G12" s="149">
        <v>0</v>
      </c>
      <c r="H12" s="149"/>
      <c r="I12" s="128">
        <v>12.5</v>
      </c>
      <c r="J12" s="137">
        <v>0</v>
      </c>
      <c r="K12" s="57">
        <v>0</v>
      </c>
      <c r="L12" s="137">
        <v>0</v>
      </c>
      <c r="M12" s="152">
        <v>680.80500000000006</v>
      </c>
      <c r="N12" s="146"/>
      <c r="O12" s="21">
        <v>679</v>
      </c>
      <c r="P12" s="21">
        <v>124</v>
      </c>
      <c r="Q12" s="21">
        <v>1370</v>
      </c>
      <c r="R12" s="21">
        <v>1450</v>
      </c>
      <c r="S12" s="118">
        <f t="shared" si="3"/>
        <v>35635</v>
      </c>
      <c r="T12" s="166"/>
      <c r="U12" s="116"/>
      <c r="V12" s="21">
        <v>2.8299999999999999E-2</v>
      </c>
      <c r="W12" s="25"/>
      <c r="X12" s="266"/>
    </row>
    <row r="13" spans="1:24" x14ac:dyDescent="0.25">
      <c r="A13" s="335"/>
      <c r="B13" s="135">
        <v>2021</v>
      </c>
      <c r="C13" s="313">
        <v>45000</v>
      </c>
      <c r="D13" s="312">
        <v>6.4999999999999997E-3</v>
      </c>
      <c r="E13" s="128">
        <f t="shared" si="2"/>
        <v>292.5</v>
      </c>
      <c r="F13" s="118"/>
      <c r="G13" s="149">
        <v>0</v>
      </c>
      <c r="H13" s="149"/>
      <c r="I13" s="128">
        <v>12.5</v>
      </c>
      <c r="J13" s="137">
        <v>0</v>
      </c>
      <c r="K13" s="57">
        <v>0</v>
      </c>
      <c r="L13" s="137">
        <v>0</v>
      </c>
      <c r="M13" s="151">
        <v>689.31000000000006</v>
      </c>
      <c r="N13" s="147"/>
      <c r="O13" s="21">
        <v>699</v>
      </c>
      <c r="P13" s="21">
        <v>849</v>
      </c>
      <c r="Q13" s="21">
        <v>1468</v>
      </c>
      <c r="R13" s="21">
        <v>1199</v>
      </c>
      <c r="S13" s="118">
        <f t="shared" si="3"/>
        <v>34436</v>
      </c>
      <c r="T13" s="167"/>
      <c r="U13" s="116"/>
      <c r="V13" s="21">
        <v>9.1999999999999998E-3</v>
      </c>
      <c r="W13" s="25"/>
      <c r="X13" s="266"/>
    </row>
    <row r="14" spans="1:24" x14ac:dyDescent="0.25">
      <c r="A14" s="24"/>
      <c r="B14" s="24"/>
      <c r="C14" s="24"/>
      <c r="D14" s="24"/>
      <c r="E14" s="24"/>
      <c r="F14" s="24"/>
      <c r="G14" s="24"/>
      <c r="H14" s="24"/>
      <c r="I14" s="24"/>
      <c r="J14" s="24"/>
      <c r="K14" s="24"/>
      <c r="L14" s="24"/>
      <c r="M14" s="24"/>
      <c r="N14" s="24"/>
      <c r="O14" s="24"/>
      <c r="P14" s="24"/>
      <c r="Q14" s="24"/>
      <c r="R14" s="24"/>
      <c r="S14" s="24"/>
      <c r="T14" s="24"/>
      <c r="U14" s="24"/>
      <c r="V14" s="24"/>
      <c r="W14" s="24"/>
      <c r="X14" s="268"/>
    </row>
    <row r="15" spans="1:24" x14ac:dyDescent="0.25">
      <c r="A15" s="58" t="s">
        <v>31</v>
      </c>
      <c r="B15" s="116" t="s">
        <v>170</v>
      </c>
      <c r="X15" s="261"/>
    </row>
    <row r="16" spans="1:24" x14ac:dyDescent="0.25">
      <c r="A16" s="58"/>
      <c r="B16" t="s">
        <v>175</v>
      </c>
      <c r="X16" s="261"/>
    </row>
    <row r="17" spans="1:24" x14ac:dyDescent="0.25">
      <c r="A17" s="28"/>
      <c r="X17" s="261"/>
    </row>
    <row r="18" spans="1:24" x14ac:dyDescent="0.25">
      <c r="A18" s="28"/>
      <c r="X18" s="261"/>
    </row>
    <row r="19" spans="1:24" x14ac:dyDescent="0.25">
      <c r="A19" s="58" t="s">
        <v>15</v>
      </c>
      <c r="B19" t="s">
        <v>173</v>
      </c>
      <c r="X19" s="261"/>
    </row>
    <row r="20" spans="1:24" x14ac:dyDescent="0.25">
      <c r="B20" t="s">
        <v>174</v>
      </c>
    </row>
    <row r="21" spans="1:24" x14ac:dyDescent="0.25">
      <c r="B21" s="20" t="s">
        <v>178</v>
      </c>
    </row>
  </sheetData>
  <mergeCells count="2">
    <mergeCell ref="A2:A6"/>
    <mergeCell ref="A9:A13"/>
  </mergeCells>
  <hyperlinks>
    <hyperlink ref="B21" r:id="rId1" xr:uid="{4ABD30A6-2073-4675-A8FB-69497A3D812D}"/>
  </hyperlink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E1DBE-3A4F-44C9-AE32-304626B8AACA}">
  <dimension ref="A1:V21"/>
  <sheetViews>
    <sheetView workbookViewId="0">
      <selection activeCell="V2" sqref="V2"/>
    </sheetView>
  </sheetViews>
  <sheetFormatPr baseColWidth="10" defaultRowHeight="15" x14ac:dyDescent="0.25"/>
  <sheetData>
    <row r="1" spans="1:22" ht="105" x14ac:dyDescent="0.25">
      <c r="A1" s="186" t="s">
        <v>55</v>
      </c>
      <c r="B1" s="187" t="s">
        <v>14</v>
      </c>
      <c r="C1" s="187" t="s">
        <v>0</v>
      </c>
      <c r="D1" s="187" t="s">
        <v>182</v>
      </c>
      <c r="E1" s="187" t="s">
        <v>69</v>
      </c>
      <c r="F1" s="67" t="s">
        <v>121</v>
      </c>
      <c r="G1" s="187" t="s">
        <v>4</v>
      </c>
      <c r="H1" s="188" t="s">
        <v>188</v>
      </c>
      <c r="I1" s="187" t="s">
        <v>5</v>
      </c>
      <c r="J1" s="187" t="s">
        <v>6</v>
      </c>
      <c r="K1" s="189" t="s">
        <v>34</v>
      </c>
      <c r="L1" s="187" t="s">
        <v>24</v>
      </c>
      <c r="M1" s="190" t="s">
        <v>7</v>
      </c>
      <c r="N1" s="187" t="s">
        <v>45</v>
      </c>
      <c r="O1" s="187" t="s">
        <v>8</v>
      </c>
      <c r="P1" s="187" t="s">
        <v>46</v>
      </c>
      <c r="Q1" s="186" t="s">
        <v>38</v>
      </c>
      <c r="R1" s="199" t="s">
        <v>37</v>
      </c>
      <c r="S1" s="192" t="s">
        <v>47</v>
      </c>
      <c r="T1" s="192" t="s">
        <v>48</v>
      </c>
      <c r="U1" s="192" t="s">
        <v>49</v>
      </c>
      <c r="V1" s="273" t="s">
        <v>39</v>
      </c>
    </row>
    <row r="2" spans="1:22" x14ac:dyDescent="0.25">
      <c r="A2" s="331" t="s">
        <v>17</v>
      </c>
      <c r="B2" s="211">
        <v>2017</v>
      </c>
      <c r="C2" s="196">
        <v>24000</v>
      </c>
      <c r="D2" s="4">
        <v>7.0000000000000007E-2</v>
      </c>
      <c r="E2" s="22">
        <f>C2*0.07</f>
        <v>1680.0000000000002</v>
      </c>
      <c r="F2" s="21">
        <v>30</v>
      </c>
      <c r="G2" s="21">
        <v>52.5</v>
      </c>
      <c r="H2" s="227">
        <v>55</v>
      </c>
      <c r="I2" s="12">
        <v>0</v>
      </c>
      <c r="J2" s="12"/>
      <c r="K2" s="21">
        <v>1206.126</v>
      </c>
      <c r="L2" s="22">
        <f>(5*F2)+(3*H2)</f>
        <v>315</v>
      </c>
      <c r="M2" s="77">
        <v>1100</v>
      </c>
      <c r="N2" s="21">
        <v>795</v>
      </c>
      <c r="O2" s="21">
        <v>337</v>
      </c>
      <c r="P2" s="21">
        <v>4723</v>
      </c>
      <c r="Q2" s="288">
        <f>C2-P2</f>
        <v>19277</v>
      </c>
      <c r="R2" s="21">
        <f>C2+E2+G2</f>
        <v>25732.5</v>
      </c>
      <c r="S2" s="21">
        <f>L2+K2+M2+N2+O2+K3+M3+N3+O3+K4+M4+N4+O4+K5+M5+N5+O5+K6+M6+N6+O6</f>
        <v>19258.550000000003</v>
      </c>
      <c r="T2" s="34">
        <v>1.6299999999999999E-2</v>
      </c>
      <c r="U2" s="34">
        <f>(1+0.02)*(1+0.02)*(1+0.03)*(1+0.03)*(1+0.01)</f>
        <v>1.1147979636000001</v>
      </c>
      <c r="V2" s="260">
        <f>R2+((S2/U2)-((C2-13859)/U2))</f>
        <v>33911.156848777187</v>
      </c>
    </row>
    <row r="3" spans="1:22" x14ac:dyDescent="0.25">
      <c r="A3" s="332"/>
      <c r="B3" s="211">
        <v>2018</v>
      </c>
      <c r="C3" s="196">
        <v>24000</v>
      </c>
      <c r="D3" s="22"/>
      <c r="E3" s="22"/>
      <c r="F3" s="21">
        <v>30</v>
      </c>
      <c r="G3" s="21"/>
      <c r="H3" s="227">
        <v>0</v>
      </c>
      <c r="I3" s="12">
        <v>0</v>
      </c>
      <c r="J3" s="12"/>
      <c r="K3" s="21">
        <v>1373.7359999999999</v>
      </c>
      <c r="L3" s="3"/>
      <c r="M3" s="299">
        <v>1133</v>
      </c>
      <c r="N3" s="21">
        <v>298</v>
      </c>
      <c r="O3" s="21">
        <v>393</v>
      </c>
      <c r="P3" s="21">
        <v>946</v>
      </c>
      <c r="Q3" s="288">
        <f>Q2-P3</f>
        <v>18331</v>
      </c>
      <c r="T3" s="21">
        <v>2.46E-2</v>
      </c>
      <c r="U3" s="21"/>
      <c r="V3" s="261"/>
    </row>
    <row r="4" spans="1:22" x14ac:dyDescent="0.25">
      <c r="A4" s="332"/>
      <c r="B4" s="211">
        <v>2019</v>
      </c>
      <c r="C4" s="196">
        <v>24000</v>
      </c>
      <c r="D4" s="22"/>
      <c r="E4" s="22"/>
      <c r="F4" s="21">
        <v>30</v>
      </c>
      <c r="G4" s="21"/>
      <c r="H4" s="227">
        <v>55</v>
      </c>
      <c r="I4" s="12">
        <v>0</v>
      </c>
      <c r="J4" s="12"/>
      <c r="K4" s="21">
        <v>1304.9159999999999</v>
      </c>
      <c r="L4" s="3"/>
      <c r="M4" s="299">
        <v>1167</v>
      </c>
      <c r="N4" s="21">
        <v>1723</v>
      </c>
      <c r="O4" s="21">
        <v>457</v>
      </c>
      <c r="P4" s="21">
        <v>1642</v>
      </c>
      <c r="Q4" s="288">
        <f t="shared" ref="Q4:Q6" si="0">Q3-P4</f>
        <v>16689</v>
      </c>
      <c r="T4" s="21">
        <v>2.75E-2</v>
      </c>
      <c r="U4" s="21"/>
      <c r="V4" s="261"/>
    </row>
    <row r="5" spans="1:22" x14ac:dyDescent="0.25">
      <c r="A5" s="332"/>
      <c r="B5" s="211">
        <v>2020</v>
      </c>
      <c r="C5" s="196">
        <v>24000</v>
      </c>
      <c r="D5" s="22"/>
      <c r="E5" s="22"/>
      <c r="F5" s="21">
        <v>30</v>
      </c>
      <c r="G5" s="21"/>
      <c r="H5" s="227">
        <v>0</v>
      </c>
      <c r="I5" s="12">
        <v>0</v>
      </c>
      <c r="J5" s="12"/>
      <c r="K5" s="21">
        <v>1046.8410000000001</v>
      </c>
      <c r="L5" s="3"/>
      <c r="M5" s="299">
        <v>1202</v>
      </c>
      <c r="N5" s="21">
        <v>414</v>
      </c>
      <c r="O5" s="21">
        <v>532</v>
      </c>
      <c r="P5" s="21">
        <v>1598</v>
      </c>
      <c r="Q5" s="288">
        <f t="shared" si="0"/>
        <v>15091</v>
      </c>
      <c r="T5" s="21">
        <v>2.8299999999999999E-2</v>
      </c>
      <c r="U5" s="21"/>
      <c r="V5" s="261"/>
    </row>
    <row r="6" spans="1:22" x14ac:dyDescent="0.25">
      <c r="A6" s="333"/>
      <c r="B6" s="211">
        <v>2021</v>
      </c>
      <c r="C6" s="196">
        <v>24000</v>
      </c>
      <c r="D6" s="251"/>
      <c r="E6" s="251"/>
      <c r="F6" s="50">
        <v>30</v>
      </c>
      <c r="G6" s="50"/>
      <c r="H6" s="291">
        <v>55</v>
      </c>
      <c r="I6" s="103">
        <v>0</v>
      </c>
      <c r="J6" s="103"/>
      <c r="K6" s="50">
        <v>1511.931</v>
      </c>
      <c r="L6" s="63"/>
      <c r="M6" s="314">
        <v>1238</v>
      </c>
      <c r="N6" s="290">
        <v>1093</v>
      </c>
      <c r="O6" s="290">
        <v>618</v>
      </c>
      <c r="P6" s="290">
        <v>1232</v>
      </c>
      <c r="Q6" s="289">
        <f t="shared" si="0"/>
        <v>13859</v>
      </c>
      <c r="R6" s="54"/>
      <c r="S6" s="54"/>
      <c r="T6" s="50">
        <v>9.1999999999999998E-3</v>
      </c>
      <c r="U6" s="50"/>
      <c r="V6" s="263"/>
    </row>
    <row r="7" spans="1:22" x14ac:dyDescent="0.25">
      <c r="A7" s="131"/>
      <c r="B7" s="14"/>
      <c r="C7" s="15"/>
      <c r="D7" s="3"/>
      <c r="E7" s="5"/>
      <c r="L7" s="3"/>
      <c r="M7" s="25"/>
      <c r="N7" s="25"/>
      <c r="O7" s="25"/>
      <c r="P7" s="25"/>
      <c r="Q7" s="293"/>
      <c r="R7" s="28"/>
      <c r="S7" s="28"/>
      <c r="V7" s="261"/>
    </row>
    <row r="8" spans="1:22" ht="105" x14ac:dyDescent="0.25">
      <c r="A8" s="68" t="s">
        <v>55</v>
      </c>
      <c r="B8" s="67" t="s">
        <v>14</v>
      </c>
      <c r="C8" s="67" t="s">
        <v>0</v>
      </c>
      <c r="D8" s="67" t="s">
        <v>182</v>
      </c>
      <c r="E8" s="67" t="s">
        <v>69</v>
      </c>
      <c r="F8" s="67" t="s">
        <v>121</v>
      </c>
      <c r="G8" s="67" t="s">
        <v>4</v>
      </c>
      <c r="H8" s="66" t="s">
        <v>188</v>
      </c>
      <c r="I8" s="67" t="s">
        <v>5</v>
      </c>
      <c r="J8" s="67" t="s">
        <v>6</v>
      </c>
      <c r="K8" s="184" t="s">
        <v>43</v>
      </c>
      <c r="L8" s="67" t="s">
        <v>24</v>
      </c>
      <c r="M8" s="185" t="s">
        <v>7</v>
      </c>
      <c r="N8" s="67" t="s">
        <v>45</v>
      </c>
      <c r="O8" s="67" t="s">
        <v>8</v>
      </c>
      <c r="P8" s="67" t="s">
        <v>46</v>
      </c>
      <c r="Q8" s="68" t="s">
        <v>38</v>
      </c>
      <c r="R8" s="210" t="s">
        <v>37</v>
      </c>
      <c r="S8" s="194" t="s">
        <v>47</v>
      </c>
      <c r="T8" s="194" t="s">
        <v>48</v>
      </c>
      <c r="U8" s="194" t="s">
        <v>49</v>
      </c>
      <c r="V8" s="287" t="s">
        <v>39</v>
      </c>
    </row>
    <row r="9" spans="1:22" x14ac:dyDescent="0.25">
      <c r="A9" s="331" t="s">
        <v>32</v>
      </c>
      <c r="B9" s="211">
        <v>2017</v>
      </c>
      <c r="C9" s="196">
        <v>45000</v>
      </c>
      <c r="D9" s="4">
        <v>7.0000000000000007E-2</v>
      </c>
      <c r="E9" s="22">
        <f>C9*0.07</f>
        <v>3150.0000000000005</v>
      </c>
      <c r="F9" s="21">
        <v>30</v>
      </c>
      <c r="G9" s="21">
        <v>52.5</v>
      </c>
      <c r="H9" s="227">
        <v>0</v>
      </c>
      <c r="I9" s="21">
        <v>8500</v>
      </c>
      <c r="J9" s="21">
        <v>2500</v>
      </c>
      <c r="K9" s="21">
        <v>741.96</v>
      </c>
      <c r="L9" s="21">
        <f>(5*F9)</f>
        <v>150</v>
      </c>
      <c r="M9" s="77">
        <v>1934</v>
      </c>
      <c r="N9" s="21">
        <v>206</v>
      </c>
      <c r="O9" s="21">
        <v>1221</v>
      </c>
      <c r="P9" s="21">
        <v>4632</v>
      </c>
      <c r="Q9" s="71">
        <f>C9-P9</f>
        <v>40368</v>
      </c>
      <c r="R9" s="71">
        <f>C9+E9+G9-(I9+J9)</f>
        <v>37202.5</v>
      </c>
      <c r="S9" s="71">
        <f>L9+K9+M9+N9+O9+K10+M10+N10+O10+K11+M11+N11+O11+K12+M12+N12+O12+K13+M13+N13+O13</f>
        <v>24752.855000000003</v>
      </c>
      <c r="T9" s="34">
        <v>1.6299999999999999E-2</v>
      </c>
      <c r="U9" s="34">
        <f>(1+0.02)*(1+0.02)*(1+0.03)*(1+0.03)*(1+0.01)</f>
        <v>1.1147979636000001</v>
      </c>
      <c r="V9" s="318">
        <f>R9+((S9/U2)-((C9-34436)/U2))</f>
        <v>49930.236740906978</v>
      </c>
    </row>
    <row r="10" spans="1:22" x14ac:dyDescent="0.25">
      <c r="A10" s="332"/>
      <c r="B10" s="211">
        <v>2018</v>
      </c>
      <c r="C10" s="196">
        <v>45000</v>
      </c>
      <c r="D10" s="22"/>
      <c r="E10" s="22"/>
      <c r="F10" s="21">
        <v>30</v>
      </c>
      <c r="G10" s="21"/>
      <c r="H10" s="227">
        <v>0</v>
      </c>
      <c r="I10" s="21">
        <v>0</v>
      </c>
      <c r="J10" s="21"/>
      <c r="K10" s="21">
        <v>832.27500000000009</v>
      </c>
      <c r="M10" s="299">
        <v>1992</v>
      </c>
      <c r="N10" s="21">
        <v>157</v>
      </c>
      <c r="O10" s="21">
        <v>1308</v>
      </c>
      <c r="P10" s="21">
        <v>1745</v>
      </c>
      <c r="Q10" s="71">
        <f>Q9-P10</f>
        <v>38623</v>
      </c>
      <c r="R10" s="25"/>
      <c r="S10" s="71"/>
      <c r="T10" s="21">
        <v>2.46E-2</v>
      </c>
      <c r="U10" s="21"/>
      <c r="V10" s="315"/>
    </row>
    <row r="11" spans="1:22" x14ac:dyDescent="0.25">
      <c r="A11" s="332"/>
      <c r="B11" s="211">
        <v>2019</v>
      </c>
      <c r="C11" s="196">
        <v>45000</v>
      </c>
      <c r="D11" s="22"/>
      <c r="E11" s="22"/>
      <c r="F11" s="21">
        <v>30</v>
      </c>
      <c r="G11" s="21"/>
      <c r="H11" s="227">
        <v>0</v>
      </c>
      <c r="I11" s="21">
        <v>0</v>
      </c>
      <c r="J11" s="21"/>
      <c r="K11" s="21">
        <v>880.06500000000005</v>
      </c>
      <c r="M11" s="299">
        <v>2052</v>
      </c>
      <c r="N11" s="21">
        <v>1649</v>
      </c>
      <c r="O11" s="21">
        <v>1402</v>
      </c>
      <c r="P11" s="21">
        <v>1538</v>
      </c>
      <c r="Q11" s="71">
        <f t="shared" ref="Q11:Q13" si="1">Q10-P11</f>
        <v>37085</v>
      </c>
      <c r="R11" s="25"/>
      <c r="S11" s="71"/>
      <c r="T11" s="21">
        <v>2.75E-2</v>
      </c>
      <c r="U11" s="21"/>
      <c r="V11" s="316"/>
    </row>
    <row r="12" spans="1:22" x14ac:dyDescent="0.25">
      <c r="A12" s="332"/>
      <c r="B12" s="211">
        <v>2020</v>
      </c>
      <c r="C12" s="196">
        <v>45000</v>
      </c>
      <c r="D12" s="22"/>
      <c r="E12" s="22"/>
      <c r="F12" s="21">
        <v>30</v>
      </c>
      <c r="G12" s="21"/>
      <c r="H12" s="227">
        <v>0</v>
      </c>
      <c r="I12" s="21">
        <v>0</v>
      </c>
      <c r="J12" s="21"/>
      <c r="K12" s="21">
        <v>891.40500000000009</v>
      </c>
      <c r="M12" s="299">
        <v>2113</v>
      </c>
      <c r="N12" s="21">
        <v>136</v>
      </c>
      <c r="O12" s="21">
        <v>1502</v>
      </c>
      <c r="P12" s="21">
        <v>1450</v>
      </c>
      <c r="Q12" s="71">
        <f t="shared" si="1"/>
        <v>35635</v>
      </c>
      <c r="R12" s="25"/>
      <c r="S12" s="71"/>
      <c r="T12" s="21">
        <v>2.8299999999999999E-2</v>
      </c>
      <c r="U12" s="21"/>
      <c r="V12" s="316"/>
    </row>
    <row r="13" spans="1:22" x14ac:dyDescent="0.25">
      <c r="A13" s="333"/>
      <c r="B13" s="61">
        <v>2021</v>
      </c>
      <c r="C13" s="250">
        <v>45000</v>
      </c>
      <c r="D13" s="251"/>
      <c r="E13" s="251"/>
      <c r="F13" s="50">
        <v>30</v>
      </c>
      <c r="G13" s="50"/>
      <c r="H13" s="291">
        <v>0</v>
      </c>
      <c r="I13" s="50">
        <v>0</v>
      </c>
      <c r="J13" s="50"/>
      <c r="K13" s="50">
        <v>903.15000000000009</v>
      </c>
      <c r="L13" s="54"/>
      <c r="M13" s="314">
        <v>2177</v>
      </c>
      <c r="N13" s="290">
        <v>899</v>
      </c>
      <c r="O13" s="290">
        <v>1606</v>
      </c>
      <c r="P13" s="290">
        <v>1199</v>
      </c>
      <c r="Q13" s="291">
        <f t="shared" si="1"/>
        <v>34436</v>
      </c>
      <c r="R13" s="27"/>
      <c r="S13" s="27"/>
      <c r="T13" s="50">
        <v>9.1999999999999998E-3</v>
      </c>
      <c r="U13" s="50"/>
      <c r="V13" s="317"/>
    </row>
    <row r="14" spans="1:22" x14ac:dyDescent="0.25">
      <c r="A14" s="283"/>
      <c r="B14" s="89"/>
      <c r="C14" s="55"/>
      <c r="D14" s="28"/>
      <c r="E14" s="28"/>
      <c r="F14" s="28"/>
      <c r="G14" s="28"/>
      <c r="H14" s="28"/>
      <c r="I14" s="28"/>
      <c r="J14" s="28"/>
      <c r="K14" s="28"/>
      <c r="L14" s="28"/>
      <c r="M14" s="25"/>
      <c r="N14" s="25"/>
      <c r="O14" s="25"/>
      <c r="P14" s="25"/>
      <c r="Q14" s="162"/>
      <c r="R14" s="25"/>
      <c r="S14" s="25"/>
      <c r="T14" s="71"/>
      <c r="U14" s="71"/>
      <c r="V14" s="25"/>
    </row>
    <row r="15" spans="1:22" x14ac:dyDescent="0.25">
      <c r="A15" s="58" t="s">
        <v>31</v>
      </c>
      <c r="B15" t="s">
        <v>185</v>
      </c>
      <c r="Q15" s="162"/>
      <c r="R15" s="25"/>
      <c r="S15" s="25"/>
      <c r="T15" s="71"/>
      <c r="U15" s="71"/>
      <c r="V15" s="25"/>
    </row>
    <row r="16" spans="1:22" x14ac:dyDescent="0.25">
      <c r="A16" s="58"/>
      <c r="B16" t="s">
        <v>186</v>
      </c>
      <c r="Q16" s="162"/>
      <c r="R16" s="25"/>
      <c r="S16" s="25"/>
      <c r="T16" s="71"/>
      <c r="U16" s="71"/>
      <c r="V16" s="25"/>
    </row>
    <row r="18" spans="1:2" x14ac:dyDescent="0.25">
      <c r="A18" s="58" t="s">
        <v>103</v>
      </c>
      <c r="B18" t="s">
        <v>181</v>
      </c>
    </row>
    <row r="19" spans="1:2" x14ac:dyDescent="0.25">
      <c r="B19" t="s">
        <v>183</v>
      </c>
    </row>
    <row r="20" spans="1:2" x14ac:dyDescent="0.25">
      <c r="B20" s="20" t="s">
        <v>184</v>
      </c>
    </row>
    <row r="21" spans="1:2" x14ac:dyDescent="0.25">
      <c r="B21" t="s">
        <v>187</v>
      </c>
    </row>
  </sheetData>
  <mergeCells count="2">
    <mergeCell ref="A2:A6"/>
    <mergeCell ref="A9:A13"/>
  </mergeCells>
  <hyperlinks>
    <hyperlink ref="B20" r:id="rId1" xr:uid="{9C555FFE-4666-432B-A1D4-815E6FB0BEF0}"/>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22B35-3C2D-4506-BD8C-9F661EC5AC49}">
  <dimension ref="A1:W21"/>
  <sheetViews>
    <sheetView zoomScale="110" zoomScaleNormal="110" workbookViewId="0">
      <selection activeCell="C2" sqref="C2"/>
    </sheetView>
  </sheetViews>
  <sheetFormatPr baseColWidth="10" defaultRowHeight="15" x14ac:dyDescent="0.25"/>
  <cols>
    <col min="8" max="8" width="13.28515625" customWidth="1"/>
    <col min="13" max="13" width="15" customWidth="1"/>
    <col min="17" max="17" width="11.140625" customWidth="1"/>
    <col min="23" max="23" width="11.42578125" style="261"/>
  </cols>
  <sheetData>
    <row r="1" spans="1:23" s="54" customFormat="1" ht="105" x14ac:dyDescent="0.25">
      <c r="A1" s="186" t="s">
        <v>55</v>
      </c>
      <c r="B1" s="190" t="s">
        <v>14</v>
      </c>
      <c r="C1" s="187" t="s">
        <v>0</v>
      </c>
      <c r="D1" s="187" t="s">
        <v>136</v>
      </c>
      <c r="E1" s="67" t="s">
        <v>137</v>
      </c>
      <c r="F1" s="187" t="s">
        <v>139</v>
      </c>
      <c r="G1" s="187" t="s">
        <v>128</v>
      </c>
      <c r="H1" s="189" t="s">
        <v>138</v>
      </c>
      <c r="I1" s="188" t="s">
        <v>56</v>
      </c>
      <c r="J1" s="187" t="s">
        <v>5</v>
      </c>
      <c r="K1" s="187" t="s">
        <v>6</v>
      </c>
      <c r="L1" s="189" t="s">
        <v>34</v>
      </c>
      <c r="M1" s="187" t="s">
        <v>24</v>
      </c>
      <c r="N1" s="190" t="s">
        <v>7</v>
      </c>
      <c r="O1" s="187" t="s">
        <v>45</v>
      </c>
      <c r="P1" s="187" t="s">
        <v>8</v>
      </c>
      <c r="Q1" s="187" t="s">
        <v>46</v>
      </c>
      <c r="R1" s="186" t="s">
        <v>38</v>
      </c>
      <c r="S1" s="199" t="s">
        <v>37</v>
      </c>
      <c r="T1" s="192" t="s">
        <v>47</v>
      </c>
      <c r="U1" s="192" t="s">
        <v>48</v>
      </c>
      <c r="V1" s="192" t="s">
        <v>49</v>
      </c>
      <c r="W1" s="273" t="s">
        <v>39</v>
      </c>
    </row>
    <row r="2" spans="1:23" ht="15" customHeight="1" x14ac:dyDescent="0.25">
      <c r="A2" s="331" t="s">
        <v>17</v>
      </c>
      <c r="B2" s="211">
        <v>2017</v>
      </c>
      <c r="C2" s="196">
        <v>24000</v>
      </c>
      <c r="D2" s="4">
        <v>0.03</v>
      </c>
      <c r="E2" s="22">
        <f>(D2*C2)</f>
        <v>720</v>
      </c>
      <c r="F2" s="21">
        <v>36</v>
      </c>
      <c r="G2" s="296">
        <v>56</v>
      </c>
      <c r="H2" s="21">
        <v>30</v>
      </c>
      <c r="I2" s="12"/>
      <c r="J2" s="12"/>
      <c r="K2" s="12"/>
      <c r="L2" s="21">
        <v>1166.3325</v>
      </c>
      <c r="M2" s="22">
        <f>F2*5+H2*5</f>
        <v>330</v>
      </c>
      <c r="N2" s="77">
        <v>755</v>
      </c>
      <c r="O2" s="21">
        <v>797</v>
      </c>
      <c r="P2" s="21">
        <v>347</v>
      </c>
      <c r="Q2" s="21">
        <v>4831</v>
      </c>
      <c r="R2" s="21">
        <f>C2-Q2</f>
        <v>19169</v>
      </c>
      <c r="S2" s="77">
        <f>C2+E2+G2</f>
        <v>24776</v>
      </c>
      <c r="T2" s="21">
        <f>M2+L2+N2+O2+P2+L3+N3+O3+P3+L4+N4+O4+P4+L5+N5+O5+P5+L6+N6+O6+P6</f>
        <v>17215.572500000002</v>
      </c>
      <c r="U2" s="34">
        <v>1.6299999999999999E-2</v>
      </c>
      <c r="V2" s="34">
        <f>(1+0.02)*(1+0.02)*(1+0.03)*(1+0.03)*(1+0.01)</f>
        <v>1.1147979636000001</v>
      </c>
      <c r="W2" s="260">
        <f>S2+((T2/V2)-((C2-13627)/V2))</f>
        <v>30913.948510332208</v>
      </c>
    </row>
    <row r="3" spans="1:23" x14ac:dyDescent="0.25">
      <c r="A3" s="332"/>
      <c r="B3" s="211">
        <v>2018</v>
      </c>
      <c r="C3" s="196">
        <v>24000</v>
      </c>
      <c r="D3" s="3">
        <v>0</v>
      </c>
      <c r="E3" s="3">
        <f>(D3*C3)</f>
        <v>0</v>
      </c>
      <c r="F3" s="21">
        <v>36</v>
      </c>
      <c r="G3" s="296">
        <v>0</v>
      </c>
      <c r="H3" s="21">
        <v>30</v>
      </c>
      <c r="I3" s="12"/>
      <c r="J3" s="12"/>
      <c r="K3" s="12"/>
      <c r="L3" s="21">
        <v>1321.7325000000001</v>
      </c>
      <c r="M3" s="3"/>
      <c r="N3" s="299">
        <v>778</v>
      </c>
      <c r="O3" s="21">
        <v>304</v>
      </c>
      <c r="P3" s="21">
        <v>404</v>
      </c>
      <c r="Q3" s="21">
        <v>967</v>
      </c>
      <c r="R3" s="21">
        <f>R2-Q3</f>
        <v>18202</v>
      </c>
      <c r="S3" s="26"/>
      <c r="U3" s="21">
        <v>2.46E-2</v>
      </c>
      <c r="V3" s="21"/>
    </row>
    <row r="4" spans="1:23" x14ac:dyDescent="0.25">
      <c r="A4" s="332"/>
      <c r="B4" s="211">
        <v>2019</v>
      </c>
      <c r="C4" s="196">
        <v>24000</v>
      </c>
      <c r="D4" s="3">
        <v>0</v>
      </c>
      <c r="E4" s="3">
        <f>(D4*C4)</f>
        <v>0</v>
      </c>
      <c r="F4" s="21">
        <v>36</v>
      </c>
      <c r="G4" s="296">
        <v>0</v>
      </c>
      <c r="H4" s="21">
        <v>30</v>
      </c>
      <c r="I4" s="12"/>
      <c r="J4" s="12"/>
      <c r="K4" s="12"/>
      <c r="L4" s="21">
        <v>1239.5925</v>
      </c>
      <c r="M4" s="3"/>
      <c r="N4" s="299">
        <v>801</v>
      </c>
      <c r="O4" s="21">
        <v>1710</v>
      </c>
      <c r="P4" s="21">
        <v>470</v>
      </c>
      <c r="Q4" s="21">
        <v>1680</v>
      </c>
      <c r="R4" s="21">
        <f t="shared" ref="R4:R6" si="0">R3-Q4</f>
        <v>16522</v>
      </c>
      <c r="S4" s="26"/>
      <c r="U4" s="21">
        <v>2.75E-2</v>
      </c>
      <c r="V4" s="21"/>
    </row>
    <row r="5" spans="1:23" x14ac:dyDescent="0.25">
      <c r="A5" s="332"/>
      <c r="B5" s="211">
        <v>2020</v>
      </c>
      <c r="C5" s="196">
        <v>24000</v>
      </c>
      <c r="D5" s="3">
        <v>0</v>
      </c>
      <c r="E5" s="3">
        <f>(D5*C5)</f>
        <v>0</v>
      </c>
      <c r="F5" s="21">
        <v>36</v>
      </c>
      <c r="G5" s="296">
        <v>0</v>
      </c>
      <c r="H5" s="21">
        <v>30</v>
      </c>
      <c r="I5" s="12"/>
      <c r="J5" s="12"/>
      <c r="K5" s="12"/>
      <c r="L5" s="21">
        <v>966.53249999999991</v>
      </c>
      <c r="M5" s="3"/>
      <c r="N5" s="299">
        <v>825</v>
      </c>
      <c r="O5" s="21">
        <v>419</v>
      </c>
      <c r="P5" s="21">
        <v>547</v>
      </c>
      <c r="Q5" s="21">
        <v>1634</v>
      </c>
      <c r="R5" s="21">
        <f t="shared" si="0"/>
        <v>14888</v>
      </c>
      <c r="S5" s="26"/>
      <c r="U5" s="21">
        <v>2.8299999999999999E-2</v>
      </c>
      <c r="V5" s="21"/>
    </row>
    <row r="6" spans="1:23" s="54" customFormat="1" x14ac:dyDescent="0.25">
      <c r="A6" s="333"/>
      <c r="B6" s="211">
        <v>2021</v>
      </c>
      <c r="C6" s="196">
        <v>24000</v>
      </c>
      <c r="D6" s="63">
        <v>0</v>
      </c>
      <c r="E6" s="63">
        <f>(D6*C6)</f>
        <v>0</v>
      </c>
      <c r="F6" s="50">
        <v>36</v>
      </c>
      <c r="G6" s="297">
        <v>0</v>
      </c>
      <c r="H6" s="50">
        <v>30</v>
      </c>
      <c r="I6" s="103"/>
      <c r="J6" s="103"/>
      <c r="K6" s="103"/>
      <c r="L6" s="50">
        <v>1449.3824999999999</v>
      </c>
      <c r="M6" s="63"/>
      <c r="N6" s="202">
        <v>850</v>
      </c>
      <c r="O6" s="50">
        <v>1100</v>
      </c>
      <c r="P6" s="50">
        <v>635</v>
      </c>
      <c r="Q6" s="50">
        <v>1261</v>
      </c>
      <c r="R6" s="102">
        <f t="shared" si="0"/>
        <v>13627</v>
      </c>
      <c r="S6" s="44"/>
      <c r="U6" s="50">
        <v>9.1999999999999998E-3</v>
      </c>
      <c r="V6" s="50"/>
      <c r="W6" s="263"/>
    </row>
    <row r="7" spans="1:23" x14ac:dyDescent="0.25">
      <c r="A7" s="131"/>
      <c r="B7" s="14"/>
      <c r="C7" s="15"/>
      <c r="D7" s="3"/>
      <c r="E7" s="5"/>
      <c r="G7" s="295"/>
      <c r="M7" s="3"/>
      <c r="N7" s="254"/>
      <c r="O7" s="25"/>
      <c r="P7" s="25"/>
      <c r="Q7" s="25"/>
      <c r="S7" s="26"/>
    </row>
    <row r="8" spans="1:23" s="221" customFormat="1" ht="105" x14ac:dyDescent="0.25">
      <c r="A8" s="68" t="s">
        <v>55</v>
      </c>
      <c r="B8" s="67" t="s">
        <v>14</v>
      </c>
      <c r="C8" s="67" t="s">
        <v>0</v>
      </c>
      <c r="D8" s="67" t="s">
        <v>136</v>
      </c>
      <c r="E8" s="67" t="s">
        <v>137</v>
      </c>
      <c r="F8" s="67" t="s">
        <v>139</v>
      </c>
      <c r="G8" s="67" t="s">
        <v>128</v>
      </c>
      <c r="H8" s="184" t="s">
        <v>140</v>
      </c>
      <c r="I8" s="66" t="s">
        <v>56</v>
      </c>
      <c r="J8" s="67" t="s">
        <v>5</v>
      </c>
      <c r="K8" s="67" t="s">
        <v>6</v>
      </c>
      <c r="L8" s="184" t="s">
        <v>43</v>
      </c>
      <c r="M8" s="67" t="s">
        <v>24</v>
      </c>
      <c r="N8" s="185" t="s">
        <v>7</v>
      </c>
      <c r="O8" s="67" t="s">
        <v>45</v>
      </c>
      <c r="P8" s="67" t="s">
        <v>8</v>
      </c>
      <c r="Q8" s="67" t="s">
        <v>46</v>
      </c>
      <c r="R8" s="67" t="s">
        <v>38</v>
      </c>
      <c r="S8" s="298" t="s">
        <v>37</v>
      </c>
      <c r="T8" s="194" t="s">
        <v>47</v>
      </c>
      <c r="U8" s="194" t="s">
        <v>48</v>
      </c>
      <c r="V8" s="194" t="s">
        <v>49</v>
      </c>
      <c r="W8" s="287" t="s">
        <v>39</v>
      </c>
    </row>
    <row r="9" spans="1:23" ht="15" customHeight="1" x14ac:dyDescent="0.25">
      <c r="A9" s="331" t="s">
        <v>32</v>
      </c>
      <c r="B9" s="211">
        <v>2017</v>
      </c>
      <c r="C9" s="196">
        <v>45000</v>
      </c>
      <c r="D9" s="4">
        <v>0.03</v>
      </c>
      <c r="E9" s="21">
        <f xml:space="preserve"> (D9*C9)</f>
        <v>1350</v>
      </c>
      <c r="F9" s="21">
        <v>36</v>
      </c>
      <c r="G9" s="21">
        <v>56</v>
      </c>
      <c r="H9" s="12"/>
      <c r="I9" s="21">
        <v>130</v>
      </c>
      <c r="J9" s="21">
        <v>8500</v>
      </c>
      <c r="K9" s="21">
        <v>0</v>
      </c>
      <c r="L9" s="21">
        <v>443.07000000000005</v>
      </c>
      <c r="M9" s="21">
        <f>F9*5+I9*5</f>
        <v>830</v>
      </c>
      <c r="N9" s="77">
        <v>906</v>
      </c>
      <c r="O9" s="21">
        <v>208</v>
      </c>
      <c r="P9" s="21">
        <v>1259</v>
      </c>
      <c r="Q9" s="21">
        <v>4716</v>
      </c>
      <c r="R9" s="21">
        <f>C9-Q9</f>
        <v>40284</v>
      </c>
      <c r="S9" s="299">
        <f>C9+E9+G9-(J9)</f>
        <v>37906</v>
      </c>
      <c r="T9" s="21">
        <f>M9+L9+N9+O9+P9+L10+N10+O10+P10+L11+N11+O11+P11+L12+N12+O12+P12+L13+N13+O13+P13</f>
        <v>18175.075000000001</v>
      </c>
      <c r="U9" s="34">
        <v>1.6299999999999999E-2</v>
      </c>
      <c r="V9" s="34">
        <f>(1+0.02)*(1+0.02)*(1+0.03)*(1+0.03)*(1+0.01)</f>
        <v>1.1147979636000001</v>
      </c>
      <c r="W9" s="260">
        <f>S9+((T9/V2)-((C9-34245)/V2))</f>
        <v>44561.981839111424</v>
      </c>
    </row>
    <row r="10" spans="1:23" x14ac:dyDescent="0.25">
      <c r="A10" s="332"/>
      <c r="B10" s="211">
        <v>2018</v>
      </c>
      <c r="C10" s="196">
        <v>45000</v>
      </c>
      <c r="D10" s="3">
        <v>0</v>
      </c>
      <c r="E10">
        <f xml:space="preserve"> (D10*C10)</f>
        <v>0</v>
      </c>
      <c r="F10" s="21">
        <v>36</v>
      </c>
      <c r="G10" s="21">
        <v>0</v>
      </c>
      <c r="H10" s="12"/>
      <c r="I10" s="21">
        <v>130</v>
      </c>
      <c r="J10" s="21">
        <v>0</v>
      </c>
      <c r="K10" s="21">
        <v>0</v>
      </c>
      <c r="L10" s="21">
        <v>449.14500000000004</v>
      </c>
      <c r="N10" s="299">
        <v>933</v>
      </c>
      <c r="O10" s="21">
        <v>159</v>
      </c>
      <c r="P10" s="21">
        <v>1348</v>
      </c>
      <c r="Q10" s="21">
        <v>1776</v>
      </c>
      <c r="R10" s="21">
        <f>R9-Q10</f>
        <v>38508</v>
      </c>
      <c r="S10" s="26"/>
      <c r="U10" s="21">
        <v>2.46E-2</v>
      </c>
      <c r="V10" s="21"/>
    </row>
    <row r="11" spans="1:23" x14ac:dyDescent="0.25">
      <c r="A11" s="332"/>
      <c r="B11" s="211">
        <v>2019</v>
      </c>
      <c r="C11" s="196">
        <v>45000</v>
      </c>
      <c r="D11" s="3">
        <v>0</v>
      </c>
      <c r="E11">
        <f xml:space="preserve"> (D11*C11)</f>
        <v>0</v>
      </c>
      <c r="F11" s="21">
        <v>36</v>
      </c>
      <c r="G11" s="21">
        <v>0</v>
      </c>
      <c r="H11" s="12"/>
      <c r="I11" s="21">
        <v>130</v>
      </c>
      <c r="J11" s="21">
        <v>0</v>
      </c>
      <c r="K11" s="21">
        <v>0</v>
      </c>
      <c r="L11" s="21">
        <v>462.51000000000005</v>
      </c>
      <c r="N11" s="299">
        <v>961</v>
      </c>
      <c r="O11" s="21">
        <v>1615</v>
      </c>
      <c r="P11" s="21">
        <v>1444</v>
      </c>
      <c r="Q11" s="21">
        <v>1566</v>
      </c>
      <c r="R11" s="21">
        <f t="shared" ref="R11:R13" si="1">R10-Q11</f>
        <v>36942</v>
      </c>
      <c r="S11" s="26"/>
      <c r="U11" s="21">
        <v>2.75E-2</v>
      </c>
      <c r="V11" s="21"/>
    </row>
    <row r="12" spans="1:23" x14ac:dyDescent="0.25">
      <c r="A12" s="332"/>
      <c r="B12" s="211">
        <v>2020</v>
      </c>
      <c r="C12" s="196">
        <v>45000</v>
      </c>
      <c r="D12" s="3">
        <v>0</v>
      </c>
      <c r="E12">
        <f xml:space="preserve"> (D12*C12)</f>
        <v>0</v>
      </c>
      <c r="F12" s="21">
        <v>36</v>
      </c>
      <c r="G12" s="21">
        <v>0</v>
      </c>
      <c r="H12" s="12"/>
      <c r="I12" s="21">
        <v>130</v>
      </c>
      <c r="J12" s="21">
        <v>0</v>
      </c>
      <c r="K12" s="21">
        <v>0</v>
      </c>
      <c r="L12" s="21">
        <v>460.89000000000004</v>
      </c>
      <c r="N12" s="299">
        <v>990</v>
      </c>
      <c r="O12" s="21">
        <v>137</v>
      </c>
      <c r="P12" s="21">
        <v>1546</v>
      </c>
      <c r="Q12" s="21">
        <v>1476</v>
      </c>
      <c r="R12" s="21">
        <f t="shared" si="1"/>
        <v>35466</v>
      </c>
      <c r="S12" s="26"/>
      <c r="U12" s="21">
        <v>2.8299999999999999E-2</v>
      </c>
      <c r="V12" s="21"/>
    </row>
    <row r="13" spans="1:23" s="54" customFormat="1" x14ac:dyDescent="0.25">
      <c r="A13" s="333"/>
      <c r="B13" s="286">
        <v>2021</v>
      </c>
      <c r="C13" s="250">
        <v>45000</v>
      </c>
      <c r="D13" s="63">
        <v>0</v>
      </c>
      <c r="E13" s="54">
        <f xml:space="preserve"> (D13*C13)</f>
        <v>0</v>
      </c>
      <c r="F13" s="50">
        <v>36</v>
      </c>
      <c r="G13" s="50">
        <v>0</v>
      </c>
      <c r="H13" s="103"/>
      <c r="I13" s="50">
        <v>130</v>
      </c>
      <c r="J13" s="50">
        <v>0</v>
      </c>
      <c r="K13" s="50">
        <v>0</v>
      </c>
      <c r="L13" s="50">
        <v>458.46000000000004</v>
      </c>
      <c r="N13" s="202">
        <v>1020</v>
      </c>
      <c r="O13" s="50">
        <v>893</v>
      </c>
      <c r="P13" s="50">
        <v>1652</v>
      </c>
      <c r="Q13" s="50">
        <v>1221</v>
      </c>
      <c r="R13" s="102">
        <f t="shared" si="1"/>
        <v>34245</v>
      </c>
      <c r="S13" s="44"/>
      <c r="U13" s="50">
        <v>9.1999999999999998E-3</v>
      </c>
      <c r="V13" s="50"/>
      <c r="W13" s="263"/>
    </row>
    <row r="15" spans="1:23" x14ac:dyDescent="0.25">
      <c r="A15" s="58" t="s">
        <v>31</v>
      </c>
      <c r="B15" t="s">
        <v>134</v>
      </c>
    </row>
    <row r="16" spans="1:23" x14ac:dyDescent="0.25">
      <c r="A16" s="58"/>
    </row>
    <row r="18" spans="1:2" x14ac:dyDescent="0.25">
      <c r="A18" s="58" t="s">
        <v>103</v>
      </c>
    </row>
    <row r="19" spans="1:2" x14ac:dyDescent="0.25">
      <c r="B19" t="s">
        <v>135</v>
      </c>
    </row>
    <row r="20" spans="1:2" x14ac:dyDescent="0.25">
      <c r="B20" t="s">
        <v>141</v>
      </c>
    </row>
    <row r="21" spans="1:2" x14ac:dyDescent="0.25">
      <c r="B21" t="s">
        <v>142</v>
      </c>
    </row>
  </sheetData>
  <mergeCells count="2">
    <mergeCell ref="A2:A6"/>
    <mergeCell ref="A9:A13"/>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67CBE-CBC4-4749-96E6-519338F8667C}">
  <dimension ref="A1:V22"/>
  <sheetViews>
    <sheetView topLeftCell="F1" zoomScale="130" zoomScaleNormal="130" workbookViewId="0">
      <selection activeCell="S2" sqref="S2"/>
    </sheetView>
  </sheetViews>
  <sheetFormatPr baseColWidth="10" defaultRowHeight="15" x14ac:dyDescent="0.25"/>
  <cols>
    <col min="5" max="5" width="13.85546875" customWidth="1"/>
    <col min="8" max="8" width="13.28515625" customWidth="1"/>
    <col min="22" max="22" width="11.42578125" style="261"/>
  </cols>
  <sheetData>
    <row r="1" spans="1:22" s="54" customFormat="1" ht="105" x14ac:dyDescent="0.25">
      <c r="A1" s="186" t="s">
        <v>55</v>
      </c>
      <c r="B1" s="190" t="s">
        <v>14</v>
      </c>
      <c r="C1" s="187" t="s">
        <v>0</v>
      </c>
      <c r="D1" s="233" t="s">
        <v>147</v>
      </c>
      <c r="E1" s="187" t="s">
        <v>91</v>
      </c>
      <c r="F1" s="187" t="s">
        <v>151</v>
      </c>
      <c r="G1" s="187" t="s">
        <v>70</v>
      </c>
      <c r="H1" s="189" t="s">
        <v>138</v>
      </c>
      <c r="I1" s="187" t="s">
        <v>5</v>
      </c>
      <c r="J1" s="187" t="s">
        <v>6</v>
      </c>
      <c r="K1" s="189" t="s">
        <v>34</v>
      </c>
      <c r="L1" s="187" t="s">
        <v>24</v>
      </c>
      <c r="M1" s="190" t="s">
        <v>7</v>
      </c>
      <c r="N1" s="187" t="s">
        <v>45</v>
      </c>
      <c r="O1" s="187" t="s">
        <v>8</v>
      </c>
      <c r="P1" s="187" t="s">
        <v>46</v>
      </c>
      <c r="Q1" s="186" t="s">
        <v>38</v>
      </c>
      <c r="R1" s="199" t="s">
        <v>37</v>
      </c>
      <c r="S1" s="192" t="s">
        <v>47</v>
      </c>
      <c r="T1" s="192" t="s">
        <v>48</v>
      </c>
      <c r="U1" s="192" t="s">
        <v>49</v>
      </c>
      <c r="V1" s="273" t="s">
        <v>39</v>
      </c>
    </row>
    <row r="2" spans="1:22" ht="15" customHeight="1" x14ac:dyDescent="0.25">
      <c r="A2" s="331" t="s">
        <v>17</v>
      </c>
      <c r="B2" s="211">
        <v>2017</v>
      </c>
      <c r="C2" s="196">
        <v>24000</v>
      </c>
      <c r="D2" s="4">
        <v>6.8000000000000005E-2</v>
      </c>
      <c r="E2" s="22">
        <f>(D2*C2)</f>
        <v>1632.0000000000002</v>
      </c>
      <c r="F2" s="21">
        <v>53</v>
      </c>
      <c r="G2" s="21">
        <v>26</v>
      </c>
      <c r="H2" s="227">
        <v>10</v>
      </c>
      <c r="I2" s="12"/>
      <c r="J2" s="12"/>
      <c r="K2" s="21">
        <v>1541.2349999999999</v>
      </c>
      <c r="L2" s="22">
        <f>5*53</f>
        <v>265</v>
      </c>
      <c r="M2" s="71">
        <v>759</v>
      </c>
      <c r="N2" s="71">
        <v>765</v>
      </c>
      <c r="O2" s="71">
        <v>320</v>
      </c>
      <c r="P2" s="71">
        <v>5046</v>
      </c>
      <c r="Q2" s="21">
        <f>C2-P2</f>
        <v>18954</v>
      </c>
      <c r="R2" s="21">
        <f>C2+E2+G2+H2</f>
        <v>25668</v>
      </c>
      <c r="S2" s="21">
        <f>L2+K2+M2+N2+O2+K3+M3+N3+O3+K4+M4+N4+O4+K5+M5+N5+O5+K6+M6+N6+O6</f>
        <v>19281.62</v>
      </c>
      <c r="T2" s="34">
        <v>1.6299999999999999E-2</v>
      </c>
      <c r="U2" s="34">
        <f>(1+0.02)*(1+0.02)*(1+0.03)*(1+0.03)*(1+0.01)</f>
        <v>1.1147979636000001</v>
      </c>
      <c r="V2" s="324">
        <f>R2+((S2/U2)-((C2-13165)/U2))</f>
        <v>33244.816854529818</v>
      </c>
    </row>
    <row r="3" spans="1:22" x14ac:dyDescent="0.25">
      <c r="A3" s="332"/>
      <c r="B3" s="211">
        <v>2018</v>
      </c>
      <c r="C3" s="196">
        <v>24000</v>
      </c>
      <c r="D3" s="3">
        <v>0</v>
      </c>
      <c r="E3" s="22">
        <f>(D3*C3)</f>
        <v>0</v>
      </c>
      <c r="F3" s="21">
        <v>53</v>
      </c>
      <c r="G3">
        <v>0</v>
      </c>
      <c r="H3" s="227">
        <v>0</v>
      </c>
      <c r="I3" s="12"/>
      <c r="J3" s="12"/>
      <c r="K3" s="21">
        <v>1778.7749999999999</v>
      </c>
      <c r="L3" s="3"/>
      <c r="M3" s="71">
        <v>782</v>
      </c>
      <c r="N3" s="71">
        <v>282</v>
      </c>
      <c r="O3" s="71">
        <v>373</v>
      </c>
      <c r="P3" s="71">
        <v>1010</v>
      </c>
      <c r="Q3" s="21">
        <f>Q2-P3</f>
        <v>17944</v>
      </c>
      <c r="T3" s="21">
        <v>2.46E-2</v>
      </c>
      <c r="U3" s="21"/>
    </row>
    <row r="4" spans="1:22" x14ac:dyDescent="0.25">
      <c r="A4" s="332"/>
      <c r="B4" s="211">
        <v>2019</v>
      </c>
      <c r="C4" s="196">
        <v>24000</v>
      </c>
      <c r="D4" s="3">
        <v>0</v>
      </c>
      <c r="E4" s="22">
        <f>(D4*C4)</f>
        <v>0</v>
      </c>
      <c r="F4" s="21">
        <v>53</v>
      </c>
      <c r="G4">
        <v>0</v>
      </c>
      <c r="H4" s="227">
        <v>0</v>
      </c>
      <c r="I4" s="12"/>
      <c r="J4" s="12"/>
      <c r="K4" s="21">
        <v>1768.23</v>
      </c>
      <c r="L4" s="3"/>
      <c r="M4" s="71">
        <v>805</v>
      </c>
      <c r="N4" s="71">
        <v>1675</v>
      </c>
      <c r="O4" s="71">
        <v>435</v>
      </c>
      <c r="P4" s="71">
        <v>1755</v>
      </c>
      <c r="Q4" s="21">
        <f t="shared" ref="Q4:Q6" si="0">Q3-P4</f>
        <v>16189</v>
      </c>
      <c r="T4" s="21">
        <v>2.75E-2</v>
      </c>
      <c r="U4" s="21"/>
    </row>
    <row r="5" spans="1:22" x14ac:dyDescent="0.25">
      <c r="A5" s="332"/>
      <c r="B5" s="211">
        <v>2020</v>
      </c>
      <c r="C5" s="196">
        <v>24000</v>
      </c>
      <c r="D5" s="3">
        <v>0</v>
      </c>
      <c r="E5" s="22">
        <f>(D5*C5)</f>
        <v>0</v>
      </c>
      <c r="F5" s="21">
        <v>53</v>
      </c>
      <c r="G5">
        <v>0</v>
      </c>
      <c r="H5" s="245"/>
      <c r="I5" s="12"/>
      <c r="J5" s="12"/>
      <c r="K5" s="21">
        <v>1481.2949999999998</v>
      </c>
      <c r="L5" s="3"/>
      <c r="M5" s="71">
        <v>829</v>
      </c>
      <c r="N5" s="71">
        <v>397</v>
      </c>
      <c r="O5" s="71">
        <v>507</v>
      </c>
      <c r="P5" s="71">
        <v>1707</v>
      </c>
      <c r="Q5" s="21">
        <f t="shared" si="0"/>
        <v>14482</v>
      </c>
      <c r="T5" s="21">
        <v>2.8299999999999999E-2</v>
      </c>
      <c r="U5" s="21"/>
    </row>
    <row r="6" spans="1:22" s="54" customFormat="1" x14ac:dyDescent="0.25">
      <c r="A6" s="333"/>
      <c r="B6" s="61">
        <v>2021</v>
      </c>
      <c r="C6" s="250">
        <v>24000</v>
      </c>
      <c r="D6" s="63">
        <v>0</v>
      </c>
      <c r="E6" s="251">
        <f>(D6*C6)</f>
        <v>0</v>
      </c>
      <c r="F6" s="50">
        <v>53</v>
      </c>
      <c r="G6" s="54">
        <v>0</v>
      </c>
      <c r="H6" s="246"/>
      <c r="I6" s="103"/>
      <c r="J6" s="103"/>
      <c r="K6" s="50">
        <v>2024.0849999999998</v>
      </c>
      <c r="L6" s="63"/>
      <c r="M6" s="50">
        <v>854</v>
      </c>
      <c r="N6" s="50">
        <v>1051</v>
      </c>
      <c r="O6" s="50">
        <v>589</v>
      </c>
      <c r="P6" s="50">
        <v>1317</v>
      </c>
      <c r="Q6" s="50">
        <f t="shared" si="0"/>
        <v>13165</v>
      </c>
      <c r="T6" s="50">
        <v>9.1999999999999998E-3</v>
      </c>
      <c r="U6" s="50"/>
      <c r="V6" s="263"/>
    </row>
    <row r="7" spans="1:22" x14ac:dyDescent="0.25">
      <c r="A7" s="213"/>
      <c r="B7" s="89"/>
      <c r="C7" s="90"/>
      <c r="D7" s="3"/>
      <c r="E7" s="3"/>
      <c r="L7" s="3"/>
      <c r="M7" s="25"/>
      <c r="N7" s="25"/>
      <c r="O7" s="25"/>
      <c r="P7" s="25"/>
    </row>
    <row r="8" spans="1:22" s="221" customFormat="1" ht="105" x14ac:dyDescent="0.25">
      <c r="A8" s="68" t="s">
        <v>55</v>
      </c>
      <c r="B8" s="67" t="s">
        <v>14</v>
      </c>
      <c r="C8" s="67" t="s">
        <v>0</v>
      </c>
      <c r="D8" s="86" t="s">
        <v>147</v>
      </c>
      <c r="E8" s="67" t="s">
        <v>148</v>
      </c>
      <c r="F8" s="67" t="s">
        <v>149</v>
      </c>
      <c r="G8" s="67" t="s">
        <v>70</v>
      </c>
      <c r="H8" s="184" t="s">
        <v>138</v>
      </c>
      <c r="I8" s="67" t="s">
        <v>5</v>
      </c>
      <c r="J8" s="67" t="s">
        <v>6</v>
      </c>
      <c r="K8" s="184" t="s">
        <v>43</v>
      </c>
      <c r="L8" s="67" t="s">
        <v>24</v>
      </c>
      <c r="M8" s="185" t="s">
        <v>7</v>
      </c>
      <c r="N8" s="67" t="s">
        <v>45</v>
      </c>
      <c r="O8" s="67" t="s">
        <v>8</v>
      </c>
      <c r="P8" s="67" t="s">
        <v>46</v>
      </c>
      <c r="Q8" s="67" t="s">
        <v>38</v>
      </c>
      <c r="R8" s="298" t="s">
        <v>37</v>
      </c>
      <c r="S8" s="194" t="s">
        <v>47</v>
      </c>
      <c r="T8" s="194" t="s">
        <v>48</v>
      </c>
      <c r="U8" s="194" t="s">
        <v>49</v>
      </c>
      <c r="V8" s="287" t="s">
        <v>39</v>
      </c>
    </row>
    <row r="9" spans="1:22" ht="15" customHeight="1" x14ac:dyDescent="0.25">
      <c r="A9" s="331" t="s">
        <v>32</v>
      </c>
      <c r="B9" s="211">
        <v>2017</v>
      </c>
      <c r="C9" s="196">
        <v>45000</v>
      </c>
      <c r="D9" s="300">
        <v>0</v>
      </c>
      <c r="E9" s="245">
        <f xml:space="preserve"> (D9*C9)</f>
        <v>0</v>
      </c>
      <c r="F9" s="21">
        <v>53</v>
      </c>
      <c r="G9" s="21">
        <v>26</v>
      </c>
      <c r="H9" s="12"/>
      <c r="I9" s="21">
        <v>8500</v>
      </c>
      <c r="J9" s="12"/>
      <c r="K9" s="21">
        <v>445.50000000000006</v>
      </c>
      <c r="L9" s="22">
        <f>5*53</f>
        <v>265</v>
      </c>
      <c r="M9" s="21">
        <v>1253</v>
      </c>
      <c r="N9" s="21">
        <v>197</v>
      </c>
      <c r="O9" s="21">
        <v>158</v>
      </c>
      <c r="P9" s="21">
        <v>4716</v>
      </c>
      <c r="Q9" s="21">
        <f>C9-P9</f>
        <v>40284</v>
      </c>
      <c r="R9" s="21">
        <f>C9+G9-I9</f>
        <v>36526</v>
      </c>
      <c r="S9" s="21">
        <f>L9+K9+M9+N9+O9+K10+M10+M10+M10+N10+O10+K11+M11+N11+O11+K12+M12+N12++O12+K13+M13+N13+O13</f>
        <v>20432.05</v>
      </c>
      <c r="T9" s="34">
        <v>1.6299999999999999E-2</v>
      </c>
      <c r="U9" s="34">
        <f>(1+0.02)*(1+0.02)*(1+0.03)*(1+0.03)*(1+0.01)</f>
        <v>1.1147979636000001</v>
      </c>
      <c r="V9" s="280">
        <f>R9+((S9/U2)-((C9-34245)/U2))</f>
        <v>45206.541511530973</v>
      </c>
    </row>
    <row r="10" spans="1:22" x14ac:dyDescent="0.25">
      <c r="A10" s="332"/>
      <c r="B10" s="211">
        <v>2018</v>
      </c>
      <c r="C10" s="196">
        <v>45000</v>
      </c>
      <c r="D10" s="12">
        <v>0</v>
      </c>
      <c r="E10" s="245">
        <f xml:space="preserve"> (D10*C10)</f>
        <v>0</v>
      </c>
      <c r="F10" s="21">
        <v>53</v>
      </c>
      <c r="G10">
        <v>0</v>
      </c>
      <c r="H10" s="12"/>
      <c r="I10">
        <v>0</v>
      </c>
      <c r="J10" s="12"/>
      <c r="K10" s="21">
        <v>449.55</v>
      </c>
      <c r="L10" s="3"/>
      <c r="M10" s="21">
        <v>1291</v>
      </c>
      <c r="N10" s="21">
        <v>148</v>
      </c>
      <c r="O10" s="21">
        <v>1242</v>
      </c>
      <c r="P10" s="21">
        <v>1776</v>
      </c>
      <c r="Q10" s="21">
        <f>Q9-P10</f>
        <v>38508</v>
      </c>
      <c r="T10" s="21">
        <v>2.46E-2</v>
      </c>
      <c r="U10" s="21"/>
    </row>
    <row r="11" spans="1:22" x14ac:dyDescent="0.25">
      <c r="A11" s="332"/>
      <c r="B11" s="211">
        <v>2019</v>
      </c>
      <c r="C11" s="196">
        <v>45000</v>
      </c>
      <c r="D11" s="12">
        <v>0</v>
      </c>
      <c r="E11" s="245">
        <f xml:space="preserve"> (D11*C11)</f>
        <v>0</v>
      </c>
      <c r="F11" s="21">
        <v>53</v>
      </c>
      <c r="G11">
        <v>0</v>
      </c>
      <c r="H11" s="12"/>
      <c r="I11">
        <v>0</v>
      </c>
      <c r="J11" s="12"/>
      <c r="K11" s="21">
        <v>449.55</v>
      </c>
      <c r="L11" s="3"/>
      <c r="M11" s="21">
        <v>1329</v>
      </c>
      <c r="N11" s="21">
        <v>1622</v>
      </c>
      <c r="O11" s="21">
        <v>1332</v>
      </c>
      <c r="P11" s="21">
        <v>1566</v>
      </c>
      <c r="Q11" s="21">
        <f t="shared" ref="Q11:Q13" si="1">Q10-P11</f>
        <v>36942</v>
      </c>
      <c r="T11" s="21">
        <v>2.75E-2</v>
      </c>
      <c r="U11" s="21"/>
    </row>
    <row r="12" spans="1:22" x14ac:dyDescent="0.25">
      <c r="A12" s="332"/>
      <c r="B12" s="211">
        <v>2020</v>
      </c>
      <c r="C12" s="196">
        <v>45000</v>
      </c>
      <c r="D12" s="12">
        <v>0</v>
      </c>
      <c r="E12" s="245">
        <f xml:space="preserve"> (D12*C12)</f>
        <v>0</v>
      </c>
      <c r="F12" s="21">
        <v>53</v>
      </c>
      <c r="G12">
        <v>0</v>
      </c>
      <c r="H12" s="12"/>
      <c r="I12">
        <v>0</v>
      </c>
      <c r="J12" s="12"/>
      <c r="K12" s="21">
        <v>457.65000000000003</v>
      </c>
      <c r="L12" s="3"/>
      <c r="M12" s="21">
        <v>1369</v>
      </c>
      <c r="N12" s="21">
        <v>129</v>
      </c>
      <c r="O12" s="21">
        <v>1429</v>
      </c>
      <c r="P12" s="21">
        <v>1476</v>
      </c>
      <c r="Q12" s="21">
        <f t="shared" si="1"/>
        <v>35466</v>
      </c>
      <c r="T12" s="21">
        <v>2.8299999999999999E-2</v>
      </c>
      <c r="U12" s="21"/>
    </row>
    <row r="13" spans="1:22" s="54" customFormat="1" x14ac:dyDescent="0.25">
      <c r="A13" s="333"/>
      <c r="B13" s="286">
        <v>2021</v>
      </c>
      <c r="C13" s="250">
        <v>45000</v>
      </c>
      <c r="D13" s="103">
        <v>0</v>
      </c>
      <c r="E13" s="246">
        <f xml:space="preserve"> (D13*C13)</f>
        <v>0</v>
      </c>
      <c r="F13" s="50">
        <v>53</v>
      </c>
      <c r="G13" s="54">
        <v>0</v>
      </c>
      <c r="H13" s="103"/>
      <c r="I13" s="54">
        <v>0</v>
      </c>
      <c r="J13" s="103"/>
      <c r="K13" s="50">
        <v>469.8</v>
      </c>
      <c r="L13" s="63"/>
      <c r="M13" s="50">
        <v>1410</v>
      </c>
      <c r="N13" s="50">
        <v>875</v>
      </c>
      <c r="O13" s="50">
        <v>1529</v>
      </c>
      <c r="P13" s="50">
        <v>1221</v>
      </c>
      <c r="Q13" s="50">
        <f t="shared" si="1"/>
        <v>34245</v>
      </c>
      <c r="T13" s="50">
        <v>9.1999999999999998E-3</v>
      </c>
      <c r="U13" s="50"/>
      <c r="V13" s="263"/>
    </row>
    <row r="16" spans="1:22" x14ac:dyDescent="0.25">
      <c r="A16" s="58" t="s">
        <v>31</v>
      </c>
      <c r="B16" t="s">
        <v>143</v>
      </c>
    </row>
    <row r="17" spans="1:2" x14ac:dyDescent="0.25">
      <c r="A17" s="58"/>
      <c r="B17" s="235" t="s">
        <v>145</v>
      </c>
    </row>
    <row r="18" spans="1:2" x14ac:dyDescent="0.25">
      <c r="B18" t="s">
        <v>152</v>
      </c>
    </row>
    <row r="20" spans="1:2" x14ac:dyDescent="0.25">
      <c r="A20" s="58" t="s">
        <v>103</v>
      </c>
      <c r="B20" s="20" t="s">
        <v>144</v>
      </c>
    </row>
    <row r="21" spans="1:2" x14ac:dyDescent="0.25">
      <c r="B21" s="20" t="s">
        <v>146</v>
      </c>
    </row>
    <row r="22" spans="1:2" x14ac:dyDescent="0.25">
      <c r="B22" t="s">
        <v>150</v>
      </c>
    </row>
  </sheetData>
  <mergeCells count="2">
    <mergeCell ref="A2:A6"/>
    <mergeCell ref="A9:A13"/>
  </mergeCells>
  <hyperlinks>
    <hyperlink ref="B20" r:id="rId1" xr:uid="{83F72850-13D2-45BE-A6C8-2E8944723942}"/>
    <hyperlink ref="B21" r:id="rId2" xr:uid="{F6701ED0-B64B-4D7B-9FA4-6AEFF5B6042F}"/>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RESTULTS TCO calculation</vt:lpstr>
      <vt:lpstr>Austin (TEXAS) </vt:lpstr>
      <vt:lpstr>Baltimore (MARYLAND)</vt:lpstr>
      <vt:lpstr>Boston (MA)</vt:lpstr>
      <vt:lpstr>Columbus (Ohio)</vt:lpstr>
      <vt:lpstr>Denver (Colorado)</vt:lpstr>
      <vt:lpstr>Kansas City (Missouri)</vt:lpstr>
      <vt:lpstr>Los Angeles (California)</vt:lpstr>
      <vt:lpstr>Nashville (Tennesee)</vt:lpstr>
      <vt:lpstr>New York City (New York)</vt:lpstr>
      <vt:lpstr>Phoenix (Arizona)</vt:lpstr>
      <vt:lpstr>Pittsburgh (Pennsylvania)</vt:lpstr>
      <vt:lpstr>Portland (OREGON)</vt:lpstr>
      <vt:lpstr>Portland (Maine)</vt:lpstr>
      <vt:lpstr>Providence (Rhode Island)</vt:lpstr>
      <vt:lpstr>Raleigh (North Carolina)</vt:lpstr>
      <vt:lpstr>Seattle (Washington)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Tobias Held</dc:creator>
  <cp:lastModifiedBy>Tobias Held</cp:lastModifiedBy>
  <dcterms:created xsi:type="dcterms:W3CDTF">2015-06-05T18:19:34Z</dcterms:created>
  <dcterms:modified xsi:type="dcterms:W3CDTF">2024-02-04T15:45:05Z</dcterms:modified>
</cp:coreProperties>
</file>