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rathbalazs/Library/Mobile Documents/com~apple~CloudDocs/Documents/Munka/ATOMKI/COVID cikk kezdemeny/Barath et al COVID cikk bírálat/Kuldeni/"/>
    </mc:Choice>
  </mc:AlternateContent>
  <xr:revisionPtr revIDLastSave="0" documentId="13_ncr:1_{9FFA5EDA-8F63-A442-B1B4-A5BE9675C4F9}" xr6:coauthVersionLast="47" xr6:coauthVersionMax="47" xr10:uidLastSave="{00000000-0000-0000-0000-000000000000}"/>
  <bookViews>
    <workbookView xWindow="29400" yWindow="0" windowWidth="51200" windowHeight="21600" activeTab="2" xr2:uid="{0AFFCBF4-45FC-5346-A6A4-66DCBC78E232}"/>
  </bookViews>
  <sheets>
    <sheet name="CO2" sheetId="7" r:id="rId1"/>
    <sheet name="Cfoss" sheetId="6" r:id="rId2"/>
    <sheet name="Tree-ring" sheetId="8" r:id="rId3"/>
  </sheets>
  <externalReferences>
    <externalReference r:id="rId4"/>
  </externalReferences>
  <definedNames>
    <definedName name="ExternalData_1" localSheetId="1" hidden="1">Cfoss!$A$2:$C$90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8" l="1"/>
  <c r="I48" i="8"/>
  <c r="P48" i="8" s="1"/>
  <c r="G48" i="8"/>
  <c r="Q48" i="8" s="1"/>
  <c r="R47" i="8"/>
  <c r="I47" i="8"/>
  <c r="P47" i="8" s="1"/>
  <c r="G47" i="8"/>
  <c r="Q47" i="8" s="1"/>
  <c r="R46" i="8"/>
  <c r="I46" i="8"/>
  <c r="P46" i="8" s="1"/>
  <c r="G46" i="8"/>
  <c r="Q46" i="8" s="1"/>
  <c r="R45" i="8"/>
  <c r="I45" i="8"/>
  <c r="P45" i="8" s="1"/>
  <c r="G45" i="8"/>
  <c r="Q45" i="8" s="1"/>
  <c r="R44" i="8"/>
  <c r="I44" i="8"/>
  <c r="P44" i="8" s="1"/>
  <c r="G44" i="8"/>
  <c r="Q44" i="8" s="1"/>
  <c r="R43" i="8"/>
  <c r="I43" i="8"/>
  <c r="P43" i="8" s="1"/>
  <c r="G43" i="8"/>
  <c r="Q43" i="8" s="1"/>
  <c r="G42" i="8"/>
  <c r="D23" i="8"/>
  <c r="D22" i="8"/>
  <c r="D21" i="8"/>
  <c r="D20" i="8"/>
  <c r="D19" i="8"/>
  <c r="D18" i="8"/>
  <c r="D17" i="8"/>
  <c r="N12" i="8"/>
  <c r="N11" i="8"/>
  <c r="N10" i="8"/>
  <c r="S9" i="8"/>
  <c r="N9" i="8"/>
  <c r="I9" i="8"/>
  <c r="D9" i="8"/>
  <c r="AX8" i="8"/>
  <c r="AW8" i="8"/>
  <c r="S8" i="8"/>
  <c r="N8" i="8"/>
  <c r="I8" i="8"/>
  <c r="D8" i="8"/>
  <c r="AX7" i="8"/>
  <c r="AW7" i="8"/>
  <c r="S7" i="8"/>
  <c r="N7" i="8"/>
  <c r="I7" i="8"/>
  <c r="D7" i="8"/>
  <c r="AX6" i="8"/>
  <c r="AW6" i="8"/>
  <c r="N6" i="8"/>
  <c r="I6" i="8"/>
  <c r="D6" i="8"/>
  <c r="AX5" i="8"/>
  <c r="AW5" i="8"/>
  <c r="S5" i="8"/>
  <c r="N5" i="8"/>
  <c r="I5" i="8"/>
  <c r="D5" i="8"/>
  <c r="AX4" i="8"/>
  <c r="AW4" i="8"/>
  <c r="S4" i="8"/>
  <c r="N4" i="8"/>
  <c r="I4" i="8"/>
  <c r="D4" i="8"/>
  <c r="AX3" i="8"/>
  <c r="AW3" i="8"/>
  <c r="S3" i="8"/>
  <c r="N3" i="8"/>
  <c r="D3" i="8"/>
  <c r="AX2" i="8"/>
  <c r="AW2" i="8"/>
  <c r="S89" i="6" l="1"/>
  <c r="P89" i="6"/>
  <c r="L89" i="6"/>
  <c r="I89" i="6"/>
  <c r="S88" i="6"/>
  <c r="T88" i="6" s="1"/>
  <c r="P88" i="6"/>
  <c r="L88" i="6"/>
  <c r="I88" i="6"/>
  <c r="S87" i="6"/>
  <c r="P87" i="6"/>
  <c r="L87" i="6"/>
  <c r="I87" i="6"/>
  <c r="S86" i="6"/>
  <c r="P86" i="6"/>
  <c r="L86" i="6"/>
  <c r="I86" i="6"/>
  <c r="S85" i="6"/>
  <c r="P85" i="6"/>
  <c r="L85" i="6"/>
  <c r="I85" i="6"/>
  <c r="S84" i="6"/>
  <c r="P84" i="6"/>
  <c r="L84" i="6"/>
  <c r="I84" i="6"/>
  <c r="S83" i="6"/>
  <c r="P83" i="6"/>
  <c r="L83" i="6"/>
  <c r="I83" i="6"/>
  <c r="S82" i="6"/>
  <c r="P82" i="6"/>
  <c r="L82" i="6"/>
  <c r="I82" i="6"/>
  <c r="S80" i="6"/>
  <c r="P80" i="6"/>
  <c r="R114" i="6" s="1"/>
  <c r="L80" i="6"/>
  <c r="I80" i="6"/>
  <c r="S79" i="6"/>
  <c r="P79" i="6"/>
  <c r="L79" i="6"/>
  <c r="I79" i="6"/>
  <c r="S78" i="6"/>
  <c r="P78" i="6"/>
  <c r="L78" i="6"/>
  <c r="I78" i="6"/>
  <c r="S77" i="6"/>
  <c r="P77" i="6"/>
  <c r="L77" i="6"/>
  <c r="I77" i="6"/>
  <c r="S76" i="6"/>
  <c r="T76" i="6" s="1"/>
  <c r="P76" i="6"/>
  <c r="L76" i="6"/>
  <c r="M76" i="6" s="1"/>
  <c r="I76" i="6"/>
  <c r="S75" i="6"/>
  <c r="P75" i="6"/>
  <c r="L75" i="6"/>
  <c r="I75" i="6"/>
  <c r="S74" i="6"/>
  <c r="P74" i="6"/>
  <c r="L74" i="6"/>
  <c r="I74" i="6"/>
  <c r="S73" i="6"/>
  <c r="P73" i="6"/>
  <c r="L73" i="6"/>
  <c r="I73" i="6"/>
  <c r="S72" i="6"/>
  <c r="P72" i="6"/>
  <c r="L72" i="6"/>
  <c r="I72" i="6"/>
  <c r="S71" i="6"/>
  <c r="T71" i="6" s="1"/>
  <c r="P71" i="6"/>
  <c r="L71" i="6"/>
  <c r="M71" i="6" s="1"/>
  <c r="I71" i="6"/>
  <c r="S70" i="6"/>
  <c r="P70" i="6"/>
  <c r="L70" i="6"/>
  <c r="I70" i="6"/>
  <c r="S69" i="6"/>
  <c r="P69" i="6"/>
  <c r="R113" i="6" s="1"/>
  <c r="L69" i="6"/>
  <c r="I69" i="6"/>
  <c r="S68" i="6"/>
  <c r="T68" i="6" s="1"/>
  <c r="P68" i="6"/>
  <c r="L68" i="6"/>
  <c r="M68" i="6" s="1"/>
  <c r="I68" i="6"/>
  <c r="S67" i="6"/>
  <c r="P67" i="6"/>
  <c r="L67" i="6"/>
  <c r="I67" i="6"/>
  <c r="S66" i="6"/>
  <c r="P66" i="6"/>
  <c r="L66" i="6"/>
  <c r="I66" i="6"/>
  <c r="S65" i="6"/>
  <c r="P65" i="6"/>
  <c r="L65" i="6"/>
  <c r="I65" i="6"/>
  <c r="S64" i="6"/>
  <c r="P64" i="6"/>
  <c r="L64" i="6"/>
  <c r="I64" i="6"/>
  <c r="S63" i="6"/>
  <c r="P63" i="6"/>
  <c r="L63" i="6"/>
  <c r="M63" i="6" s="1"/>
  <c r="I63" i="6"/>
  <c r="S62" i="6"/>
  <c r="P62" i="6"/>
  <c r="L62" i="6"/>
  <c r="I62" i="6"/>
  <c r="S61" i="6"/>
  <c r="P61" i="6"/>
  <c r="L61" i="6"/>
  <c r="I61" i="6"/>
  <c r="S60" i="6"/>
  <c r="P60" i="6"/>
  <c r="T60" i="6" s="1"/>
  <c r="L60" i="6"/>
  <c r="I60" i="6"/>
  <c r="S59" i="6"/>
  <c r="P59" i="6"/>
  <c r="L59" i="6"/>
  <c r="I59" i="6"/>
  <c r="S58" i="6"/>
  <c r="P58" i="6"/>
  <c r="L58" i="6"/>
  <c r="I58" i="6"/>
  <c r="S57" i="6"/>
  <c r="P57" i="6"/>
  <c r="L57" i="6"/>
  <c r="I57" i="6"/>
  <c r="S56" i="6"/>
  <c r="P56" i="6"/>
  <c r="L56" i="6"/>
  <c r="I56" i="6"/>
  <c r="S55" i="6"/>
  <c r="P55" i="6"/>
  <c r="L55" i="6"/>
  <c r="I55" i="6"/>
  <c r="M55" i="6" s="1"/>
  <c r="S54" i="6"/>
  <c r="P54" i="6"/>
  <c r="L54" i="6"/>
  <c r="I54" i="6"/>
  <c r="S53" i="6"/>
  <c r="P53" i="6"/>
  <c r="L53" i="6"/>
  <c r="I53" i="6"/>
  <c r="L124" i="6" s="1"/>
  <c r="S52" i="6"/>
  <c r="P52" i="6"/>
  <c r="L52" i="6"/>
  <c r="I52" i="6"/>
  <c r="S51" i="6"/>
  <c r="P51" i="6"/>
  <c r="L51" i="6"/>
  <c r="M51" i="6" s="1"/>
  <c r="I51" i="6"/>
  <c r="S50" i="6"/>
  <c r="P50" i="6"/>
  <c r="L50" i="6"/>
  <c r="I50" i="6"/>
  <c r="S49" i="6"/>
  <c r="P49" i="6"/>
  <c r="L49" i="6"/>
  <c r="I49" i="6"/>
  <c r="S48" i="6"/>
  <c r="T48" i="6" s="1"/>
  <c r="P48" i="6"/>
  <c r="L48" i="6"/>
  <c r="I48" i="6"/>
  <c r="S47" i="6"/>
  <c r="P47" i="6"/>
  <c r="L47" i="6"/>
  <c r="M47" i="6" s="1"/>
  <c r="I47" i="6"/>
  <c r="S46" i="6"/>
  <c r="P46" i="6"/>
  <c r="L46" i="6"/>
  <c r="I46" i="6"/>
  <c r="S45" i="6"/>
  <c r="P45" i="6"/>
  <c r="L45" i="6"/>
  <c r="I45" i="6"/>
  <c r="S44" i="6"/>
  <c r="T44" i="6" s="1"/>
  <c r="P44" i="6"/>
  <c r="L44" i="6"/>
  <c r="I44" i="6"/>
  <c r="S43" i="6"/>
  <c r="P43" i="6"/>
  <c r="M43" i="6"/>
  <c r="L43" i="6"/>
  <c r="I43" i="6"/>
  <c r="S42" i="6"/>
  <c r="P42" i="6"/>
  <c r="L42" i="6"/>
  <c r="I42" i="6"/>
  <c r="S41" i="6"/>
  <c r="P41" i="6"/>
  <c r="L41" i="6"/>
  <c r="I41" i="6"/>
  <c r="S40" i="6"/>
  <c r="P40" i="6"/>
  <c r="L40" i="6"/>
  <c r="S39" i="6"/>
  <c r="P39" i="6"/>
  <c r="T39" i="6" s="1"/>
  <c r="L39" i="6"/>
  <c r="S38" i="6"/>
  <c r="P38" i="6"/>
  <c r="L38" i="6"/>
  <c r="I38" i="6"/>
  <c r="S37" i="6"/>
  <c r="T37" i="6" s="1"/>
  <c r="P37" i="6"/>
  <c r="M37" i="6"/>
  <c r="L37" i="6"/>
  <c r="I37" i="6"/>
  <c r="S36" i="6"/>
  <c r="P36" i="6"/>
  <c r="L36" i="6"/>
  <c r="M36" i="6" s="1"/>
  <c r="I36" i="6"/>
  <c r="S35" i="6"/>
  <c r="T35" i="6" s="1"/>
  <c r="P35" i="6"/>
  <c r="L35" i="6"/>
  <c r="I35" i="6"/>
  <c r="S34" i="6"/>
  <c r="P34" i="6"/>
  <c r="L34" i="6"/>
  <c r="I34" i="6"/>
  <c r="S33" i="6"/>
  <c r="P33" i="6"/>
  <c r="L33" i="6"/>
  <c r="I33" i="6"/>
  <c r="M33" i="6" s="1"/>
  <c r="S32" i="6"/>
  <c r="P32" i="6"/>
  <c r="L32" i="6"/>
  <c r="I32" i="6"/>
  <c r="S31" i="6"/>
  <c r="P31" i="6"/>
  <c r="L31" i="6"/>
  <c r="I31" i="6"/>
  <c r="S30" i="6"/>
  <c r="P30" i="6"/>
  <c r="L30" i="6"/>
  <c r="I30" i="6"/>
  <c r="S29" i="6"/>
  <c r="T29" i="6" s="1"/>
  <c r="P29" i="6"/>
  <c r="L29" i="6"/>
  <c r="I29" i="6"/>
  <c r="M29" i="6" s="1"/>
  <c r="S28" i="6"/>
  <c r="P28" i="6"/>
  <c r="L28" i="6"/>
  <c r="I28" i="6"/>
  <c r="J122" i="6" s="1"/>
  <c r="S27" i="6"/>
  <c r="T27" i="6" s="1"/>
  <c r="P27" i="6"/>
  <c r="L27" i="6"/>
  <c r="I27" i="6"/>
  <c r="S26" i="6"/>
  <c r="P26" i="6"/>
  <c r="L26" i="6"/>
  <c r="I26" i="6"/>
  <c r="S25" i="6"/>
  <c r="P25" i="6"/>
  <c r="L25" i="6"/>
  <c r="M25" i="6" s="1"/>
  <c r="I25" i="6"/>
  <c r="S24" i="6"/>
  <c r="P24" i="6"/>
  <c r="L24" i="6"/>
  <c r="I24" i="6"/>
  <c r="S23" i="6"/>
  <c r="P23" i="6"/>
  <c r="L23" i="6"/>
  <c r="I23" i="6"/>
  <c r="S22" i="6"/>
  <c r="P22" i="6"/>
  <c r="L22" i="6"/>
  <c r="I22" i="6"/>
  <c r="S21" i="6"/>
  <c r="P21" i="6"/>
  <c r="L21" i="6"/>
  <c r="I21" i="6"/>
  <c r="S20" i="6"/>
  <c r="P20" i="6"/>
  <c r="L20" i="6"/>
  <c r="I20" i="6"/>
  <c r="S19" i="6"/>
  <c r="P19" i="6"/>
  <c r="L19" i="6"/>
  <c r="I19" i="6"/>
  <c r="S18" i="6"/>
  <c r="P18" i="6"/>
  <c r="L18" i="6"/>
  <c r="I18" i="6"/>
  <c r="S17" i="6"/>
  <c r="T17" i="6" s="1"/>
  <c r="P17" i="6"/>
  <c r="L17" i="6"/>
  <c r="I17" i="6"/>
  <c r="M17" i="6" s="1"/>
  <c r="S16" i="6"/>
  <c r="P16" i="6"/>
  <c r="L16" i="6"/>
  <c r="I16" i="6"/>
  <c r="K121" i="6" s="1"/>
  <c r="S15" i="6"/>
  <c r="P15" i="6"/>
  <c r="L15" i="6"/>
  <c r="I15" i="6"/>
  <c r="S14" i="6"/>
  <c r="P14" i="6"/>
  <c r="L14" i="6"/>
  <c r="I14" i="6"/>
  <c r="S13" i="6"/>
  <c r="P13" i="6"/>
  <c r="L13" i="6"/>
  <c r="I13" i="6"/>
  <c r="L12" i="6"/>
  <c r="I12" i="6"/>
  <c r="M12" i="6" s="1"/>
  <c r="L11" i="6"/>
  <c r="I11" i="6"/>
  <c r="L10" i="6"/>
  <c r="I10" i="6"/>
  <c r="L9" i="6"/>
  <c r="I9" i="6"/>
  <c r="L8" i="6"/>
  <c r="I8" i="6"/>
  <c r="L7" i="6"/>
  <c r="I7" i="6"/>
  <c r="L6" i="6"/>
  <c r="I6" i="6"/>
  <c r="S5" i="6"/>
  <c r="P5" i="6"/>
  <c r="L5" i="6"/>
  <c r="I5" i="6"/>
  <c r="P4" i="6"/>
  <c r="I4" i="6"/>
  <c r="I106" i="6" s="1"/>
  <c r="P3" i="6"/>
  <c r="I3" i="6"/>
  <c r="M20" i="6" l="1"/>
  <c r="M28" i="6"/>
  <c r="M67" i="6"/>
  <c r="T18" i="6"/>
  <c r="L96" i="6"/>
  <c r="T51" i="6"/>
  <c r="T59" i="6"/>
  <c r="T85" i="6"/>
  <c r="T5" i="6"/>
  <c r="M13" i="6"/>
  <c r="M21" i="6"/>
  <c r="M38" i="6"/>
  <c r="T40" i="6"/>
  <c r="Q110" i="6"/>
  <c r="T46" i="6"/>
  <c r="M62" i="6"/>
  <c r="M79" i="6"/>
  <c r="M84" i="6"/>
  <c r="M88" i="6"/>
  <c r="K122" i="6"/>
  <c r="M24" i="6"/>
  <c r="M89" i="6"/>
  <c r="M32" i="6"/>
  <c r="T45" i="6"/>
  <c r="L102" i="6"/>
  <c r="M75" i="6"/>
  <c r="P124" i="6"/>
  <c r="T73" i="6"/>
  <c r="L122" i="6"/>
  <c r="M11" i="6"/>
  <c r="M22" i="6"/>
  <c r="M59" i="6"/>
  <c r="M85" i="6"/>
  <c r="M30" i="6"/>
  <c r="T14" i="6"/>
  <c r="T22" i="6"/>
  <c r="T26" i="6"/>
  <c r="T34" i="6"/>
  <c r="M46" i="6"/>
  <c r="T21" i="6"/>
  <c r="T52" i="6"/>
  <c r="T56" i="6"/>
  <c r="T82" i="6"/>
  <c r="Q124" i="6"/>
  <c r="I97" i="6"/>
  <c r="N94" i="6"/>
  <c r="K94" i="6"/>
  <c r="M8" i="6"/>
  <c r="Q125" i="6"/>
  <c r="I105" i="6"/>
  <c r="N99" i="6"/>
  <c r="M16" i="6"/>
  <c r="T19" i="6"/>
  <c r="T31" i="6"/>
  <c r="P110" i="6"/>
  <c r="M48" i="6"/>
  <c r="M50" i="6"/>
  <c r="T53" i="6"/>
  <c r="T64" i="6"/>
  <c r="M70" i="6"/>
  <c r="T75" i="6"/>
  <c r="T23" i="6"/>
  <c r="S93" i="6"/>
  <c r="J95" i="6"/>
  <c r="L121" i="6"/>
  <c r="J108" i="6"/>
  <c r="M14" i="6"/>
  <c r="M18" i="6"/>
  <c r="K95" i="6"/>
  <c r="L110" i="6"/>
  <c r="T33" i="6"/>
  <c r="T38" i="6"/>
  <c r="M52" i="6"/>
  <c r="T55" i="6"/>
  <c r="T57" i="6"/>
  <c r="P97" i="6"/>
  <c r="M72" i="6"/>
  <c r="M74" i="6"/>
  <c r="T77" i="6"/>
  <c r="T89" i="6"/>
  <c r="Q95" i="6"/>
  <c r="M34" i="6"/>
  <c r="T41" i="6"/>
  <c r="M56" i="6"/>
  <c r="M58" i="6"/>
  <c r="T61" i="6"/>
  <c r="J113" i="6"/>
  <c r="T72" i="6"/>
  <c r="I99" i="6"/>
  <c r="T84" i="6"/>
  <c r="S95" i="6"/>
  <c r="M5" i="6"/>
  <c r="M7" i="6"/>
  <c r="R93" i="6"/>
  <c r="P109" i="6"/>
  <c r="T25" i="6"/>
  <c r="T43" i="6"/>
  <c r="V97" i="6"/>
  <c r="R111" i="6"/>
  <c r="M60" i="6"/>
  <c r="T63" i="6"/>
  <c r="T65" i="6"/>
  <c r="P125" i="6"/>
  <c r="T78" i="6"/>
  <c r="M80" i="6"/>
  <c r="M83" i="6"/>
  <c r="T86" i="6"/>
  <c r="V98" i="6"/>
  <c r="Q109" i="6"/>
  <c r="T13" i="6"/>
  <c r="T15" i="6"/>
  <c r="Q93" i="6"/>
  <c r="L94" i="6"/>
  <c r="T24" i="6"/>
  <c r="M26" i="6"/>
  <c r="I122" i="6"/>
  <c r="T36" i="6"/>
  <c r="M44" i="6"/>
  <c r="T47" i="6"/>
  <c r="T49" i="6"/>
  <c r="M64" i="6"/>
  <c r="M66" i="6"/>
  <c r="T69" i="6"/>
  <c r="I126" i="6"/>
  <c r="T80" i="6"/>
  <c r="M87" i="6"/>
  <c r="J96" i="6"/>
  <c r="I96" i="6"/>
  <c r="J98" i="6"/>
  <c r="I98" i="6"/>
  <c r="Q112" i="6"/>
  <c r="P105" i="6"/>
  <c r="P92" i="6"/>
  <c r="M53" i="6"/>
  <c r="M42" i="6"/>
  <c r="T67" i="6"/>
  <c r="K96" i="6"/>
  <c r="R120" i="6"/>
  <c r="Q120" i="6"/>
  <c r="P120" i="6"/>
  <c r="S92" i="6"/>
  <c r="N95" i="6"/>
  <c r="S94" i="6"/>
  <c r="T54" i="6"/>
  <c r="R124" i="6"/>
  <c r="T62" i="6"/>
  <c r="L125" i="6"/>
  <c r="T70" i="6"/>
  <c r="T87" i="6"/>
  <c r="V92" i="6"/>
  <c r="V96" i="6"/>
  <c r="L98" i="6"/>
  <c r="S101" i="6"/>
  <c r="J121" i="6"/>
  <c r="T20" i="6"/>
  <c r="L120" i="6"/>
  <c r="K120" i="6"/>
  <c r="M19" i="6"/>
  <c r="R95" i="6"/>
  <c r="K93" i="6"/>
  <c r="J109" i="6"/>
  <c r="I110" i="6"/>
  <c r="R123" i="6"/>
  <c r="M61" i="6"/>
  <c r="N93" i="6"/>
  <c r="L93" i="6"/>
  <c r="M27" i="6"/>
  <c r="M6" i="6"/>
  <c r="R96" i="6"/>
  <c r="T42" i="6"/>
  <c r="Q96" i="6"/>
  <c r="P96" i="6"/>
  <c r="Q123" i="6"/>
  <c r="T50" i="6"/>
  <c r="T58" i="6"/>
  <c r="R98" i="6"/>
  <c r="Q98" i="6"/>
  <c r="T66" i="6"/>
  <c r="P98" i="6"/>
  <c r="L126" i="6"/>
  <c r="V94" i="6"/>
  <c r="P106" i="6"/>
  <c r="J94" i="6"/>
  <c r="T32" i="6"/>
  <c r="R109" i="6"/>
  <c r="J123" i="6"/>
  <c r="I123" i="6"/>
  <c r="S96" i="6"/>
  <c r="K97" i="6"/>
  <c r="I112" i="6"/>
  <c r="S98" i="6"/>
  <c r="K99" i="6"/>
  <c r="J99" i="6"/>
  <c r="K114" i="6"/>
  <c r="I92" i="6"/>
  <c r="I95" i="6"/>
  <c r="R97" i="6"/>
  <c r="P99" i="6"/>
  <c r="I108" i="6"/>
  <c r="R110" i="6"/>
  <c r="I114" i="6"/>
  <c r="I120" i="6"/>
  <c r="K123" i="6"/>
  <c r="R125" i="6"/>
  <c r="T28" i="6"/>
  <c r="R122" i="6"/>
  <c r="Q122" i="6"/>
  <c r="P122" i="6"/>
  <c r="M69" i="6"/>
  <c r="M86" i="6"/>
  <c r="J97" i="6"/>
  <c r="R112" i="6"/>
  <c r="M9" i="6"/>
  <c r="P93" i="6"/>
  <c r="I113" i="6"/>
  <c r="K124" i="6"/>
  <c r="N97" i="6"/>
  <c r="L101" i="6"/>
  <c r="I109" i="6"/>
  <c r="M41" i="6"/>
  <c r="M49" i="6"/>
  <c r="L97" i="6"/>
  <c r="M57" i="6"/>
  <c r="M65" i="6"/>
  <c r="Q113" i="6"/>
  <c r="M73" i="6"/>
  <c r="P126" i="6"/>
  <c r="L99" i="6"/>
  <c r="S99" i="6"/>
  <c r="M82" i="6"/>
  <c r="L92" i="6"/>
  <c r="N96" i="6"/>
  <c r="S97" i="6"/>
  <c r="Q99" i="6"/>
  <c r="K109" i="6"/>
  <c r="P111" i="6"/>
  <c r="J114" i="6"/>
  <c r="J120" i="6"/>
  <c r="L123" i="6"/>
  <c r="Q126" i="6"/>
  <c r="I93" i="6"/>
  <c r="M45" i="6"/>
  <c r="P112" i="6"/>
  <c r="M77" i="6"/>
  <c r="J93" i="6"/>
  <c r="M35" i="6"/>
  <c r="V95" i="6"/>
  <c r="L111" i="6"/>
  <c r="T74" i="6"/>
  <c r="T83" i="6"/>
  <c r="Q97" i="6"/>
  <c r="T16" i="6"/>
  <c r="R121" i="6"/>
  <c r="Q121" i="6"/>
  <c r="P121" i="6"/>
  <c r="T30" i="6"/>
  <c r="T95" i="6" s="1"/>
  <c r="N98" i="6"/>
  <c r="V99" i="6"/>
  <c r="V93" i="6"/>
  <c r="M15" i="6"/>
  <c r="R94" i="6"/>
  <c r="M23" i="6"/>
  <c r="M31" i="6"/>
  <c r="M95" i="6" s="1"/>
  <c r="M54" i="6"/>
  <c r="M78" i="6"/>
  <c r="T79" i="6"/>
  <c r="P95" i="6"/>
  <c r="K98" i="6"/>
  <c r="R99" i="6"/>
  <c r="L109" i="6"/>
  <c r="Q111" i="6"/>
  <c r="I121" i="6"/>
  <c r="P123" i="6"/>
  <c r="R126" i="6"/>
  <c r="P94" i="6"/>
  <c r="S102" i="6"/>
  <c r="K108" i="6"/>
  <c r="I111" i="6"/>
  <c r="J112" i="6"/>
  <c r="K113" i="6"/>
  <c r="L114" i="6"/>
  <c r="I125" i="6"/>
  <c r="J126" i="6"/>
  <c r="N92" i="6"/>
  <c r="Q94" i="6"/>
  <c r="L95" i="6"/>
  <c r="L108" i="6"/>
  <c r="J111" i="6"/>
  <c r="K112" i="6"/>
  <c r="L113" i="6"/>
  <c r="P114" i="6"/>
  <c r="I124" i="6"/>
  <c r="J125" i="6"/>
  <c r="K126" i="6"/>
  <c r="I94" i="6"/>
  <c r="J110" i="6"/>
  <c r="K111" i="6"/>
  <c r="L112" i="6"/>
  <c r="P113" i="6"/>
  <c r="Q114" i="6"/>
  <c r="J124" i="6"/>
  <c r="K125" i="6"/>
  <c r="M10" i="6"/>
  <c r="K110" i="6"/>
  <c r="T93" i="6" l="1"/>
  <c r="T92" i="6"/>
  <c r="T99" i="6"/>
  <c r="T96" i="6"/>
  <c r="T94" i="6"/>
  <c r="T98" i="6"/>
  <c r="P116" i="6"/>
  <c r="M98" i="6"/>
  <c r="M102" i="6"/>
  <c r="M101" i="6"/>
  <c r="T101" i="6"/>
  <c r="M92" i="6"/>
  <c r="M94" i="6"/>
  <c r="M93" i="6"/>
  <c r="T97" i="6"/>
  <c r="I128" i="6"/>
  <c r="I127" i="6"/>
  <c r="T102" i="6"/>
  <c r="M99" i="6"/>
  <c r="M97" i="6"/>
  <c r="P115" i="6"/>
  <c r="I115" i="6"/>
  <c r="I116" i="6"/>
  <c r="P128" i="6"/>
  <c r="P127" i="6"/>
  <c r="M96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D7C3FA2-0FB6-364F-9572-ADCE7D3EA7ED}" keepAlive="1" name="Query - monthly_averages" description="Connection to the 'monthly_averages' query in the workbook." type="5" refreshedVersion="8" background="1" saveData="1">
    <dbPr connection="Provider=Microsoft.Mashup.OleDb.1;Data Source=$Workbook$;Location=monthly_averages;Extended Properties=&quot;&quot;" command="SELECT * FROM [monthly_averages]"/>
  </connection>
</connections>
</file>

<file path=xl/sharedStrings.xml><?xml version="1.0" encoding="utf-8"?>
<sst xmlns="http://schemas.openxmlformats.org/spreadsheetml/2006/main" count="327" uniqueCount="236">
  <si>
    <t>Név</t>
  </si>
  <si>
    <t>Leírás</t>
  </si>
  <si>
    <t>Év</t>
  </si>
  <si>
    <t>Date</t>
  </si>
  <si>
    <t>pMC (abs)</t>
  </si>
  <si>
    <t>error (abs)</t>
  </si>
  <si>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charset val="238"/>
        <scheme val="minor"/>
      </rPr>
      <t>14</t>
    </r>
    <r>
      <rPr>
        <sz val="12"/>
        <color theme="1"/>
        <rFont val="Calibri"/>
        <family val="2"/>
        <scheme val="minor"/>
      </rPr>
      <t>C</t>
    </r>
  </si>
  <si>
    <r>
      <t>error (</t>
    </r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charset val="238"/>
        <scheme val="minor"/>
      </rPr>
      <t>14</t>
    </r>
    <r>
      <rPr>
        <sz val="12"/>
        <color theme="1"/>
        <rFont val="Calibri"/>
        <family val="2"/>
        <scheme val="minor"/>
      </rPr>
      <t>C)</t>
    </r>
  </si>
  <si>
    <t>T1</t>
  </si>
  <si>
    <t>ATOMKI légkörihez közeli fa</t>
  </si>
  <si>
    <t>II/2798/1</t>
  </si>
  <si>
    <t>A1</t>
  </si>
  <si>
    <t>Budapest Déli pu.  (A)</t>
  </si>
  <si>
    <t>II/2798/2</t>
  </si>
  <si>
    <t>A2</t>
  </si>
  <si>
    <t>II/2798/3</t>
  </si>
  <si>
    <t>A3</t>
  </si>
  <si>
    <t>II/2798/4</t>
  </si>
  <si>
    <t>A4</t>
  </si>
  <si>
    <t>II/2798/5</t>
  </si>
  <si>
    <t>A5</t>
  </si>
  <si>
    <t>II/2798/6</t>
  </si>
  <si>
    <t>A6</t>
  </si>
  <si>
    <t>II/2798/7</t>
  </si>
  <si>
    <t>A7</t>
  </si>
  <si>
    <t>II/2798/8</t>
  </si>
  <si>
    <t>B1</t>
  </si>
  <si>
    <t>Budapest Déli pu.  (B)</t>
  </si>
  <si>
    <t>II/2798/9</t>
  </si>
  <si>
    <t>B2</t>
  </si>
  <si>
    <t>II/2798/10</t>
  </si>
  <si>
    <t>B3</t>
  </si>
  <si>
    <t>II/2798/11</t>
  </si>
  <si>
    <t>B4</t>
  </si>
  <si>
    <t>II/2798/12</t>
  </si>
  <si>
    <t>B5</t>
  </si>
  <si>
    <t>II/2798/13</t>
  </si>
  <si>
    <t>B6</t>
  </si>
  <si>
    <t>II/2798/14</t>
  </si>
  <si>
    <t>B7</t>
  </si>
  <si>
    <t>II/2798/15</t>
  </si>
  <si>
    <t>B8</t>
  </si>
  <si>
    <t>II/2798/16</t>
  </si>
  <si>
    <t>B9</t>
  </si>
  <si>
    <t>II/2798/17</t>
  </si>
  <si>
    <t>B10</t>
  </si>
  <si>
    <t>I/2595/15</t>
  </si>
  <si>
    <t>Tree 2 first core</t>
  </si>
  <si>
    <t>Hegyhátsál Erdő 1</t>
  </si>
  <si>
    <t>I/2595/16</t>
  </si>
  <si>
    <t>I/2595/17</t>
  </si>
  <si>
    <t>I/2595/18</t>
  </si>
  <si>
    <t>I/2595/19</t>
  </si>
  <si>
    <t>I/2595/20</t>
  </si>
  <si>
    <t>I/2595/21</t>
  </si>
  <si>
    <t>CO2ppm</t>
  </si>
  <si>
    <t>HH115mco2</t>
  </si>
  <si>
    <t>HH10mco2</t>
  </si>
  <si>
    <t>2014/10</t>
  </si>
  <si>
    <t>2014/11</t>
  </si>
  <si>
    <t>2014/12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</si>
  <si>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</si>
  <si>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</si>
  <si>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</si>
  <si>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</si>
  <si>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</si>
  <si>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</si>
  <si>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</si>
  <si>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</si>
  <si>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</si>
  <si>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</si>
  <si>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</si>
  <si>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</si>
  <si>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2016/01</t>
  </si>
  <si>
    <t>2016/02</t>
  </si>
  <si>
    <t>2016/03</t>
  </si>
  <si>
    <t>2016/04</t>
  </si>
  <si>
    <t>2016/05</t>
  </si>
  <si>
    <t>2016/06</t>
  </si>
  <si>
    <t>2016/07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</si>
  <si>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</si>
  <si>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</si>
  <si>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</si>
  <si>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</si>
  <si>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</si>
  <si>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</si>
  <si>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</si>
  <si>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</si>
  <si>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</si>
  <si>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</si>
  <si>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</si>
  <si>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</si>
  <si>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</si>
  <si>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</si>
  <si>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</si>
  <si>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</si>
  <si>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</si>
  <si>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</si>
  <si>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</si>
  <si>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</si>
  <si>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</si>
  <si>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</si>
  <si>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</si>
  <si>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</si>
  <si>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</si>
  <si>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</si>
  <si>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</si>
  <si>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</si>
  <si>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</si>
  <si>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</si>
  <si>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</si>
  <si>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</si>
  <si>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</si>
  <si>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</si>
  <si>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</si>
  <si>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</si>
  <si>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</si>
  <si>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</si>
  <si>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</si>
  <si>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</si>
  <si>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</si>
  <si>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</si>
  <si>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</si>
  <si>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</si>
  <si>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</si>
  <si>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</si>
  <si>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</si>
  <si>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</si>
  <si>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</si>
  <si>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</si>
  <si>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</si>
  <si>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</si>
  <si>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</si>
  <si>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JFJ</t>
  </si>
  <si>
    <t>detrend</t>
  </si>
  <si>
    <t>JFJ-3450mco2</t>
  </si>
  <si>
    <t>HHS115m</t>
  </si>
  <si>
    <t>HHS10</t>
  </si>
  <si>
    <t>Year</t>
  </si>
  <si>
    <t>Month</t>
  </si>
  <si>
    <t>D14CrefBG (JFJ)</t>
  </si>
  <si>
    <t>Cbg (JFJ)</t>
  </si>
  <si>
    <t>Detrended D14CrefBG (JFJ)</t>
  </si>
  <si>
    <t>Detrended Cbg (JFJ)</t>
  </si>
  <si>
    <t>D14Ccity (115m)</t>
  </si>
  <si>
    <t>CO2City (115m)</t>
  </si>
  <si>
    <t>CO2ff (115m)</t>
  </si>
  <si>
    <t>Detrended D14Ccity (115m)</t>
  </si>
  <si>
    <t>Detrended CO2City (115m)</t>
  </si>
  <si>
    <r>
      <rPr>
        <b/>
        <sz val="14"/>
        <color theme="1"/>
        <rFont val="Symbol"/>
        <charset val="2"/>
      </rPr>
      <t>d</t>
    </r>
    <r>
      <rPr>
        <b/>
        <sz val="14"/>
        <color theme="1"/>
        <rFont val="Calibri"/>
        <family val="2"/>
        <charset val="2"/>
        <scheme val="minor"/>
      </rPr>
      <t>C (115 m)</t>
    </r>
  </si>
  <si>
    <t xml:space="preserve">Cmod (115 m) </t>
  </si>
  <si>
    <t>D14Ccity (10m)</t>
  </si>
  <si>
    <t>CO2 (10m)2</t>
  </si>
  <si>
    <t>CO2ff (10m)</t>
  </si>
  <si>
    <t>Detrended D14Ccity (10m)2</t>
  </si>
  <si>
    <t>Detrended CO2City (10m)3</t>
  </si>
  <si>
    <r>
      <rPr>
        <b/>
        <sz val="14"/>
        <color theme="1"/>
        <rFont val="Symbol"/>
        <charset val="2"/>
      </rPr>
      <t>d</t>
    </r>
    <r>
      <rPr>
        <b/>
        <sz val="14"/>
        <color theme="1"/>
        <rFont val="Calibri"/>
        <family val="2"/>
        <scheme val="minor"/>
      </rPr>
      <t>C(10 m)</t>
    </r>
  </si>
  <si>
    <t>Cmod (10 m)</t>
  </si>
  <si>
    <t>?</t>
  </si>
  <si>
    <t>SZÓRÁS</t>
  </si>
  <si>
    <t>Average overall</t>
  </si>
  <si>
    <t>Minimum</t>
  </si>
  <si>
    <t>Maximum</t>
  </si>
  <si>
    <t>Overall max</t>
  </si>
  <si>
    <t>Overall min</t>
  </si>
  <si>
    <t>Seasonal max</t>
  </si>
  <si>
    <t>Seasonal min</t>
  </si>
  <si>
    <t>Min</t>
  </si>
  <si>
    <t>Max</t>
  </si>
  <si>
    <t>1 hullám</t>
  </si>
  <si>
    <t>Mar-jun (4 honap)</t>
  </si>
  <si>
    <t>115m</t>
  </si>
  <si>
    <t>10m</t>
  </si>
  <si>
    <t>2 hullám</t>
  </si>
  <si>
    <t>Nov-Mar</t>
  </si>
  <si>
    <t>14-15</t>
  </si>
  <si>
    <t>TIMESTAMPS</t>
  </si>
  <si>
    <t>MAX</t>
  </si>
  <si>
    <t>MIN</t>
  </si>
  <si>
    <t>Stdev</t>
  </si>
  <si>
    <t>2015-20 averaga</t>
  </si>
  <si>
    <t>2015-20 average</t>
  </si>
  <si>
    <t>Average</t>
  </si>
  <si>
    <t>Variance</t>
  </si>
  <si>
    <t>Hegyhátsál</t>
  </si>
  <si>
    <t>Átlag HHS Torony fa</t>
  </si>
  <si>
    <t xml:space="preserve">Szórás </t>
  </si>
  <si>
    <t>DecimalDate</t>
  </si>
  <si>
    <t>14C</t>
  </si>
  <si>
    <t>WeightedStdErr</t>
  </si>
  <si>
    <t>Sample code</t>
  </si>
  <si>
    <t>Code (Danny)</t>
  </si>
  <si>
    <t>Year B</t>
  </si>
  <si>
    <t>pMC</t>
  </si>
  <si>
    <t>error pMC</t>
  </si>
  <si>
    <t>D14C</t>
  </si>
  <si>
    <t>error D14C</t>
  </si>
  <si>
    <t>Difference from HHS</t>
  </si>
  <si>
    <t>Sampling site</t>
  </si>
  <si>
    <t>I/2595/1</t>
  </si>
  <si>
    <t>Tree 1 second core left side</t>
  </si>
  <si>
    <t>Hegyhátsál Torony 1</t>
  </si>
  <si>
    <t>I/2595/2</t>
  </si>
  <si>
    <t>I/2595/3</t>
  </si>
  <si>
    <t>I/2595/4</t>
  </si>
  <si>
    <t>I/2595/5</t>
  </si>
  <si>
    <t>I/2595/6</t>
  </si>
  <si>
    <t>I/2595/7</t>
  </si>
  <si>
    <t>I/2595/8</t>
  </si>
  <si>
    <t>Tree 1 second core Right side</t>
  </si>
  <si>
    <t>Hegyhátsál Torony 2</t>
  </si>
  <si>
    <t>I/2595/9</t>
  </si>
  <si>
    <t>I/2595/10</t>
  </si>
  <si>
    <t>I/2595/11</t>
  </si>
  <si>
    <t>Budapest Budaörsi út</t>
  </si>
  <si>
    <t>I/2595/12</t>
  </si>
  <si>
    <t>Code</t>
  </si>
  <si>
    <t>I/2595/13</t>
  </si>
  <si>
    <t>I/2595/14</t>
  </si>
  <si>
    <t>I/2882/2</t>
  </si>
  <si>
    <t>I/2882/3</t>
  </si>
  <si>
    <t>I/2882/4</t>
  </si>
  <si>
    <t>I/2882/5</t>
  </si>
  <si>
    <t>I/2882/6</t>
  </si>
  <si>
    <t>I/2882/7</t>
  </si>
  <si>
    <t>I/2882/8</t>
  </si>
  <si>
    <t>Átlag (Budaörsi út)</t>
  </si>
  <si>
    <t>Átlagos hiba</t>
  </si>
  <si>
    <t>Átlag Déli pu</t>
  </si>
  <si>
    <t>Atomki légköri fa</t>
  </si>
  <si>
    <t>hiba</t>
  </si>
  <si>
    <t>Átlag HHS ÉV</t>
  </si>
  <si>
    <t>szórás</t>
  </si>
  <si>
    <t>DD14C (HUN-Dp)</t>
  </si>
  <si>
    <t>DD14C (HUN-Budaörsi út)</t>
  </si>
  <si>
    <t>DD14C (HUN-DEB)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</si>
</sst>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"/>
    <numFmt numFmtId="165" formatCode="0.0"/>
    <numFmt numFmtId="166" formatCode="#0.00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12"/>
      <color rgb="FF006100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Arial CE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ptos Narrow (Body)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"/>
      <scheme val="minor"/>
    </font>
    <font>
      <b/>
      <sz val="14"/>
      <color theme="1"/>
      <name val="Symbol"/>
      <charset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Times New Roman"/>
      <family val="1"/>
    </font>
    <font>
      <sz val="14"/>
      <color rgb="FF212121"/>
      <name val="Aptos Narrow"/>
    </font>
    <font>
      <sz val="14"/>
      <color theme="1"/>
      <name val="Aptos Narrow"/>
    </font>
    <font>
      <b/>
      <i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Verdana"/>
      <family val="2"/>
      <charset val="238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147">
    <xf numFmtId="0" fontId="0" fillId="0" borderId="0" xfId="0"/>
    <xf numFmtId="0" fontId="1" fillId="0" borderId="0" xfId="1"/>
    <xf numFmtId="164" fontId="4" fillId="0" borderId="0" xfId="1" applyNumberFormat="1" applyFont="1"/>
    <xf numFmtId="165" fontId="1" fillId="0" borderId="0" xfId="1" applyNumberFormat="1"/>
    <xf numFmtId="14" fontId="1" fillId="0" borderId="0" xfId="1" applyNumberFormat="1"/>
    <xf numFmtId="165" fontId="4" fillId="0" borderId="0" xfId="1" applyNumberFormat="1" applyFont="1"/>
    <xf numFmtId="14" fontId="4" fillId="0" borderId="0" xfId="1" applyNumberFormat="1" applyFont="1"/>
    <xf numFmtId="166" fontId="4" fillId="0" borderId="0" xfId="0" applyNumberFormat="1" applyFont="1"/>
    <xf numFmtId="2" fontId="4" fillId="0" borderId="0" xfId="0" applyNumberFormat="1" applyFont="1"/>
    <xf numFmtId="1" fontId="1" fillId="0" borderId="0" xfId="1" applyNumberFormat="1"/>
    <xf numFmtId="1" fontId="4" fillId="0" borderId="0" xfId="1" applyNumberFormat="1" applyFont="1"/>
    <xf numFmtId="0" fontId="8" fillId="2" borderId="0" xfId="0" applyFont="1" applyFill="1"/>
    <xf numFmtId="0" fontId="9" fillId="2" borderId="2" xfId="0" applyFont="1" applyFill="1" applyBorder="1"/>
    <xf numFmtId="2" fontId="0" fillId="0" borderId="0" xfId="0" applyNumberFormat="1"/>
    <xf numFmtId="2" fontId="10" fillId="6" borderId="0" xfId="3" applyNumberFormat="1" applyFont="1" applyFill="1" applyBorder="1" applyAlignment="1">
      <alignment horizontal="center"/>
    </xf>
    <xf numFmtId="0" fontId="11" fillId="7" borderId="4" xfId="0" applyFont="1" applyFill="1" applyBorder="1"/>
    <xf numFmtId="0" fontId="11" fillId="8" borderId="4" xfId="0" applyFont="1" applyFill="1" applyBorder="1"/>
    <xf numFmtId="0" fontId="11" fillId="9" borderId="4" xfId="0" applyFont="1" applyFill="1" applyBorder="1"/>
    <xf numFmtId="0" fontId="11" fillId="10" borderId="4" xfId="0" applyFont="1" applyFill="1" applyBorder="1"/>
    <xf numFmtId="0" fontId="11" fillId="11" borderId="4" xfId="0" applyFont="1" applyFill="1" applyBorder="1"/>
    <xf numFmtId="0" fontId="11" fillId="12" borderId="4" xfId="0" applyFont="1" applyFill="1" applyBorder="1"/>
    <xf numFmtId="0" fontId="11" fillId="13" borderId="4" xfId="0" applyFont="1" applyFill="1" applyBorder="1"/>
    <xf numFmtId="0" fontId="10" fillId="0" borderId="1" xfId="0" applyFont="1" applyBorder="1"/>
    <xf numFmtId="0" fontId="12" fillId="7" borderId="5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2" fontId="13" fillId="14" borderId="3" xfId="4" applyNumberFormat="1" applyFont="1" applyFill="1" applyBorder="1" applyAlignment="1">
      <alignment horizontal="center"/>
    </xf>
    <xf numFmtId="2" fontId="13" fillId="9" borderId="3" xfId="4" applyNumberFormat="1" applyFont="1" applyFill="1" applyBorder="1" applyAlignment="1">
      <alignment horizontal="center"/>
    </xf>
    <xf numFmtId="2" fontId="13" fillId="10" borderId="3" xfId="3" applyNumberFormat="1" applyFont="1" applyFill="1" applyBorder="1" applyAlignment="1">
      <alignment horizontal="center"/>
    </xf>
    <xf numFmtId="2" fontId="13" fillId="11" borderId="3" xfId="3" applyNumberFormat="1" applyFont="1" applyFill="1" applyBorder="1" applyAlignment="1">
      <alignment horizontal="center"/>
    </xf>
    <xf numFmtId="2" fontId="14" fillId="10" borderId="3" xfId="4" applyNumberFormat="1" applyFont="1" applyFill="1" applyBorder="1" applyAlignment="1">
      <alignment horizontal="center"/>
    </xf>
    <xf numFmtId="2" fontId="13" fillId="10" borderId="3" xfId="4" applyNumberFormat="1" applyFont="1" applyFill="1" applyBorder="1" applyAlignment="1">
      <alignment horizontal="center"/>
    </xf>
    <xf numFmtId="2" fontId="13" fillId="12" borderId="3" xfId="3" applyNumberFormat="1" applyFont="1" applyFill="1" applyBorder="1" applyAlignment="1">
      <alignment horizontal="center"/>
    </xf>
    <xf numFmtId="2" fontId="13" fillId="13" borderId="3" xfId="3" applyNumberFormat="1" applyFont="1" applyFill="1" applyBorder="1" applyAlignment="1">
      <alignment horizontal="center"/>
    </xf>
    <xf numFmtId="2" fontId="14" fillId="15" borderId="6" xfId="4" applyNumberFormat="1" applyFont="1" applyFill="1" applyBorder="1" applyAlignment="1">
      <alignment horizontal="center"/>
    </xf>
    <xf numFmtId="2" fontId="13" fillId="15" borderId="7" xfId="4" applyNumberFormat="1" applyFont="1" applyFill="1" applyBorder="1" applyAlignment="1">
      <alignment horizontal="center"/>
    </xf>
    <xf numFmtId="0" fontId="10" fillId="0" borderId="8" xfId="0" applyFont="1" applyBorder="1"/>
    <xf numFmtId="0" fontId="10" fillId="7" borderId="8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2" fontId="10" fillId="14" borderId="1" xfId="4" applyNumberFormat="1" applyFont="1" applyFill="1" applyBorder="1" applyAlignment="1">
      <alignment horizontal="center"/>
    </xf>
    <xf numFmtId="2" fontId="10" fillId="9" borderId="1" xfId="4" applyNumberFormat="1" applyFont="1" applyFill="1" applyBorder="1" applyAlignment="1">
      <alignment horizontal="center"/>
    </xf>
    <xf numFmtId="2" fontId="10" fillId="10" borderId="1" xfId="3" applyNumberFormat="1" applyFont="1" applyFill="1" applyBorder="1" applyAlignment="1">
      <alignment horizontal="center"/>
    </xf>
    <xf numFmtId="2" fontId="10" fillId="11" borderId="1" xfId="3" applyNumberFormat="1" applyFont="1" applyFill="1" applyBorder="1" applyAlignment="1">
      <alignment horizontal="center"/>
    </xf>
    <xf numFmtId="2" fontId="10" fillId="10" borderId="1" xfId="4" applyNumberFormat="1" applyFont="1" applyFill="1" applyBorder="1" applyAlignment="1">
      <alignment horizontal="center"/>
    </xf>
    <xf numFmtId="2" fontId="16" fillId="12" borderId="1" xfId="0" applyNumberFormat="1" applyFont="1" applyFill="1" applyBorder="1" applyAlignment="1">
      <alignment horizontal="center"/>
    </xf>
    <xf numFmtId="2" fontId="10" fillId="12" borderId="1" xfId="3" applyNumberFormat="1" applyFont="1" applyFill="1" applyBorder="1" applyAlignment="1">
      <alignment horizontal="center"/>
    </xf>
    <xf numFmtId="2" fontId="10" fillId="13" borderId="1" xfId="3" applyNumberFormat="1" applyFont="1" applyFill="1" applyBorder="1" applyAlignment="1">
      <alignment horizontal="center"/>
    </xf>
    <xf numFmtId="2" fontId="10" fillId="15" borderId="1" xfId="0" applyNumberFormat="1" applyFont="1" applyFill="1" applyBorder="1" applyAlignment="1">
      <alignment horizontal="center"/>
    </xf>
    <xf numFmtId="2" fontId="10" fillId="15" borderId="9" xfId="0" applyNumberFormat="1" applyFont="1" applyFill="1" applyBorder="1" applyAlignment="1">
      <alignment horizontal="center"/>
    </xf>
    <xf numFmtId="0" fontId="13" fillId="0" borderId="8" xfId="0" applyFont="1" applyBorder="1"/>
    <xf numFmtId="0" fontId="11" fillId="0" borderId="1" xfId="0" applyFont="1" applyBorder="1"/>
    <xf numFmtId="0" fontId="13" fillId="0" borderId="1" xfId="0" applyFont="1" applyBorder="1"/>
    <xf numFmtId="2" fontId="17" fillId="1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6" fillId="0" borderId="1" xfId="0" applyFont="1" applyBorder="1"/>
    <xf numFmtId="0" fontId="17" fillId="0" borderId="1" xfId="0" applyFont="1" applyBorder="1"/>
    <xf numFmtId="2" fontId="10" fillId="10" borderId="1" xfId="3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2" fontId="10" fillId="12" borderId="1" xfId="0" applyNumberFormat="1" applyFont="1" applyFill="1" applyBorder="1" applyAlignment="1">
      <alignment horizontal="center"/>
    </xf>
    <xf numFmtId="2" fontId="18" fillId="10" borderId="1" xfId="0" applyNumberFormat="1" applyFont="1" applyFill="1" applyBorder="1" applyAlignment="1">
      <alignment horizontal="center"/>
    </xf>
    <xf numFmtId="2" fontId="18" fillId="12" borderId="1" xfId="0" applyNumberFormat="1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2" fontId="10" fillId="11" borderId="4" xfId="3" applyNumberFormat="1" applyFont="1" applyFill="1" applyBorder="1" applyAlignment="1">
      <alignment horizontal="center"/>
    </xf>
    <xf numFmtId="2" fontId="10" fillId="10" borderId="4" xfId="4" applyNumberFormat="1" applyFont="1" applyFill="1" applyBorder="1" applyAlignment="1">
      <alignment horizontal="center"/>
    </xf>
    <xf numFmtId="2" fontId="10" fillId="12" borderId="4" xfId="3" applyNumberFormat="1" applyFont="1" applyFill="1" applyBorder="1" applyAlignment="1">
      <alignment horizontal="center"/>
    </xf>
    <xf numFmtId="2" fontId="10" fillId="13" borderId="4" xfId="3" applyNumberFormat="1" applyFont="1" applyFill="1" applyBorder="1" applyAlignment="1">
      <alignment horizontal="center"/>
    </xf>
    <xf numFmtId="2" fontId="10" fillId="15" borderId="4" xfId="0" applyNumberFormat="1" applyFont="1" applyFill="1" applyBorder="1" applyAlignment="1">
      <alignment horizontal="center"/>
    </xf>
    <xf numFmtId="2" fontId="10" fillId="15" borderId="11" xfId="0" applyNumberFormat="1" applyFont="1" applyFill="1" applyBorder="1" applyAlignment="1">
      <alignment horizontal="center"/>
    </xf>
    <xf numFmtId="0" fontId="19" fillId="14" borderId="1" xfId="0" applyFont="1" applyFill="1" applyBorder="1" applyAlignment="1">
      <alignment horizontal="center"/>
    </xf>
    <xf numFmtId="2" fontId="20" fillId="10" borderId="1" xfId="0" applyNumberFormat="1" applyFont="1" applyFill="1" applyBorder="1" applyAlignment="1">
      <alignment horizontal="center"/>
    </xf>
    <xf numFmtId="2" fontId="20" fillId="10" borderId="1" xfId="3" applyNumberFormat="1" applyFont="1" applyFill="1" applyBorder="1" applyAlignment="1">
      <alignment horizontal="center"/>
    </xf>
    <xf numFmtId="2" fontId="20" fillId="10" borderId="4" xfId="3" applyNumberFormat="1" applyFont="1" applyFill="1" applyBorder="1" applyAlignment="1">
      <alignment horizontal="center"/>
    </xf>
    <xf numFmtId="2" fontId="20" fillId="11" borderId="4" xfId="3" applyNumberFormat="1" applyFont="1" applyFill="1" applyBorder="1" applyAlignment="1">
      <alignment horizontal="center"/>
    </xf>
    <xf numFmtId="2" fontId="20" fillId="10" borderId="4" xfId="4" applyNumberFormat="1" applyFont="1" applyFill="1" applyBorder="1" applyAlignment="1">
      <alignment horizontal="center"/>
    </xf>
    <xf numFmtId="2" fontId="20" fillId="12" borderId="1" xfId="0" applyNumberFormat="1" applyFont="1" applyFill="1" applyBorder="1" applyAlignment="1">
      <alignment horizontal="center"/>
    </xf>
    <xf numFmtId="2" fontId="20" fillId="10" borderId="1" xfId="3" applyNumberFormat="1" applyFont="1" applyFill="1" applyBorder="1" applyAlignment="1">
      <alignment horizontal="center" vertical="top"/>
    </xf>
    <xf numFmtId="2" fontId="20" fillId="12" borderId="1" xfId="4" applyNumberFormat="1" applyFont="1" applyFill="1" applyBorder="1" applyAlignment="1">
      <alignment horizontal="center"/>
    </xf>
    <xf numFmtId="2" fontId="20" fillId="14" borderId="1" xfId="4" applyNumberFormat="1" applyFont="1" applyFill="1" applyBorder="1" applyAlignment="1">
      <alignment horizontal="center"/>
    </xf>
    <xf numFmtId="2" fontId="20" fillId="9" borderId="1" xfId="4" applyNumberFormat="1" applyFont="1" applyFill="1" applyBorder="1" applyAlignment="1">
      <alignment horizontal="center"/>
    </xf>
    <xf numFmtId="2" fontId="10" fillId="10" borderId="4" xfId="3" applyNumberFormat="1" applyFont="1" applyFill="1" applyBorder="1" applyAlignment="1">
      <alignment horizontal="center"/>
    </xf>
    <xf numFmtId="2" fontId="10" fillId="10" borderId="3" xfId="3" applyNumberFormat="1" applyFont="1" applyFill="1" applyBorder="1" applyAlignment="1">
      <alignment horizontal="center"/>
    </xf>
    <xf numFmtId="2" fontId="10" fillId="11" borderId="3" xfId="3" applyNumberFormat="1" applyFont="1" applyFill="1" applyBorder="1" applyAlignment="1">
      <alignment horizontal="center"/>
    </xf>
    <xf numFmtId="2" fontId="10" fillId="10" borderId="2" xfId="3" applyNumberFormat="1" applyFont="1" applyFill="1" applyBorder="1" applyAlignment="1">
      <alignment horizontal="center"/>
    </xf>
    <xf numFmtId="2" fontId="10" fillId="12" borderId="12" xfId="3" applyNumberFormat="1" applyFont="1" applyFill="1" applyBorder="1" applyAlignment="1">
      <alignment horizontal="center"/>
    </xf>
    <xf numFmtId="2" fontId="10" fillId="12" borderId="5" xfId="3" applyNumberFormat="1" applyFont="1" applyFill="1" applyBorder="1" applyAlignment="1">
      <alignment horizontal="center"/>
    </xf>
    <xf numFmtId="2" fontId="10" fillId="12" borderId="3" xfId="3" applyNumberFormat="1" applyFont="1" applyFill="1" applyBorder="1" applyAlignment="1">
      <alignment horizontal="center"/>
    </xf>
    <xf numFmtId="2" fontId="10" fillId="13" borderId="3" xfId="3" applyNumberFormat="1" applyFont="1" applyFill="1" applyBorder="1" applyAlignment="1">
      <alignment horizontal="center"/>
    </xf>
    <xf numFmtId="2" fontId="10" fillId="15" borderId="3" xfId="0" applyNumberFormat="1" applyFont="1" applyFill="1" applyBorder="1" applyAlignment="1">
      <alignment horizontal="center"/>
    </xf>
    <xf numFmtId="0" fontId="10" fillId="16" borderId="1" xfId="0" applyFont="1" applyFill="1" applyBorder="1"/>
    <xf numFmtId="2" fontId="21" fillId="17" borderId="1" xfId="3" applyNumberFormat="1" applyFont="1" applyFill="1" applyBorder="1" applyAlignment="1">
      <alignment horizontal="center"/>
    </xf>
    <xf numFmtId="2" fontId="21" fillId="11" borderId="1" xfId="3" applyNumberFormat="1" applyFont="1" applyFill="1" applyBorder="1" applyAlignment="1">
      <alignment horizontal="center"/>
    </xf>
    <xf numFmtId="2" fontId="21" fillId="17" borderId="9" xfId="3" applyNumberFormat="1" applyFont="1" applyFill="1" applyBorder="1" applyAlignment="1">
      <alignment horizontal="center"/>
    </xf>
    <xf numFmtId="2" fontId="21" fillId="12" borderId="13" xfId="3" applyNumberFormat="1" applyFont="1" applyFill="1" applyBorder="1" applyAlignment="1">
      <alignment horizontal="center"/>
    </xf>
    <xf numFmtId="2" fontId="21" fillId="12" borderId="8" xfId="3" applyNumberFormat="1" applyFont="1" applyFill="1" applyBorder="1" applyAlignment="1">
      <alignment horizontal="center"/>
    </xf>
    <xf numFmtId="2" fontId="21" fillId="12" borderId="1" xfId="0" applyNumberFormat="1" applyFont="1" applyFill="1" applyBorder="1" applyAlignment="1">
      <alignment horizontal="center"/>
    </xf>
    <xf numFmtId="2" fontId="21" fillId="13" borderId="1" xfId="3" applyNumberFormat="1" applyFont="1" applyFill="1" applyBorder="1" applyAlignment="1">
      <alignment horizontal="center"/>
    </xf>
    <xf numFmtId="2" fontId="21" fillId="17" borderId="1" xfId="0" applyNumberFormat="1" applyFont="1" applyFill="1" applyBorder="1" applyAlignment="1">
      <alignment horizontal="center"/>
    </xf>
    <xf numFmtId="2" fontId="13" fillId="16" borderId="1" xfId="0" applyNumberFormat="1" applyFont="1" applyFill="1" applyBorder="1"/>
    <xf numFmtId="2" fontId="21" fillId="9" borderId="1" xfId="0" applyNumberFormat="1" applyFont="1" applyFill="1" applyBorder="1" applyAlignment="1">
      <alignment horizontal="center"/>
    </xf>
    <xf numFmtId="2" fontId="21" fillId="9" borderId="1" xfId="3" applyNumberFormat="1" applyFont="1" applyFill="1" applyBorder="1" applyAlignment="1">
      <alignment horizontal="center"/>
    </xf>
    <xf numFmtId="2" fontId="21" fillId="9" borderId="9" xfId="3" applyNumberFormat="1" applyFont="1" applyFill="1" applyBorder="1" applyAlignment="1">
      <alignment horizontal="center"/>
    </xf>
    <xf numFmtId="2" fontId="13" fillId="17" borderId="1" xfId="3" applyNumberFormat="1" applyFont="1" applyFill="1" applyBorder="1" applyAlignment="1">
      <alignment horizontal="center"/>
    </xf>
    <xf numFmtId="2" fontId="13" fillId="11" borderId="1" xfId="3" applyNumberFormat="1" applyFont="1" applyFill="1" applyBorder="1" applyAlignment="1">
      <alignment horizontal="center"/>
    </xf>
    <xf numFmtId="2" fontId="21" fillId="12" borderId="1" xfId="3" applyNumberFormat="1" applyFont="1" applyFill="1" applyBorder="1" applyAlignment="1">
      <alignment horizontal="center"/>
    </xf>
    <xf numFmtId="2" fontId="13" fillId="12" borderId="1" xfId="3" applyNumberFormat="1" applyFont="1" applyFill="1" applyBorder="1" applyAlignment="1">
      <alignment horizontal="center"/>
    </xf>
    <xf numFmtId="2" fontId="13" fillId="13" borderId="1" xfId="3" applyNumberFormat="1" applyFont="1" applyFill="1" applyBorder="1" applyAlignment="1">
      <alignment horizontal="center"/>
    </xf>
    <xf numFmtId="2" fontId="21" fillId="16" borderId="13" xfId="3" applyNumberFormat="1" applyFont="1" applyFill="1" applyBorder="1" applyAlignment="1">
      <alignment horizontal="center"/>
    </xf>
    <xf numFmtId="2" fontId="13" fillId="18" borderId="1" xfId="3" applyNumberFormat="1" applyFont="1" applyFill="1" applyBorder="1" applyAlignment="1">
      <alignment horizontal="center"/>
    </xf>
    <xf numFmtId="2" fontId="13" fillId="10" borderId="1" xfId="3" applyNumberFormat="1" applyFont="1" applyFill="1" applyBorder="1" applyAlignment="1">
      <alignment horizontal="center"/>
    </xf>
    <xf numFmtId="2" fontId="13" fillId="18" borderId="1" xfId="0" applyNumberFormat="1" applyFont="1" applyFill="1" applyBorder="1" applyAlignment="1">
      <alignment horizontal="center"/>
    </xf>
    <xf numFmtId="2" fontId="10" fillId="9" borderId="9" xfId="4" applyNumberFormat="1" applyFont="1" applyFill="1" applyBorder="1" applyAlignment="1">
      <alignment horizontal="center"/>
    </xf>
    <xf numFmtId="2" fontId="10" fillId="6" borderId="14" xfId="3" applyNumberFormat="1" applyFont="1" applyFill="1" applyBorder="1" applyAlignment="1">
      <alignment horizontal="center"/>
    </xf>
    <xf numFmtId="2" fontId="10" fillId="6" borderId="15" xfId="3" applyNumberFormat="1" applyFont="1" applyFill="1" applyBorder="1" applyAlignment="1">
      <alignment horizontal="center"/>
    </xf>
    <xf numFmtId="2" fontId="10" fillId="6" borderId="16" xfId="3" applyNumberFormat="1" applyFont="1" applyFill="1" applyBorder="1" applyAlignment="1">
      <alignment horizontal="center"/>
    </xf>
    <xf numFmtId="2" fontId="10" fillId="15" borderId="8" xfId="0" applyNumberFormat="1" applyFont="1" applyFill="1" applyBorder="1" applyAlignment="1">
      <alignment horizontal="center"/>
    </xf>
    <xf numFmtId="2" fontId="10" fillId="6" borderId="17" xfId="3" applyNumberFormat="1" applyFont="1" applyFill="1" applyBorder="1" applyAlignment="1">
      <alignment horizontal="center"/>
    </xf>
    <xf numFmtId="2" fontId="21" fillId="6" borderId="0" xfId="3" applyNumberFormat="1" applyFont="1" applyFill="1" applyBorder="1" applyAlignment="1">
      <alignment horizontal="center"/>
    </xf>
    <xf numFmtId="2" fontId="10" fillId="6" borderId="18" xfId="3" applyNumberFormat="1" applyFont="1" applyFill="1" applyBorder="1" applyAlignment="1">
      <alignment horizontal="center"/>
    </xf>
    <xf numFmtId="2" fontId="10" fillId="6" borderId="19" xfId="3" applyNumberFormat="1" applyFont="1" applyFill="1" applyBorder="1" applyAlignment="1">
      <alignment horizontal="center"/>
    </xf>
    <xf numFmtId="2" fontId="10" fillId="6" borderId="20" xfId="3" applyNumberFormat="1" applyFont="1" applyFill="1" applyBorder="1" applyAlignment="1">
      <alignment horizontal="center"/>
    </xf>
    <xf numFmtId="2" fontId="10" fillId="6" borderId="21" xfId="3" applyNumberFormat="1" applyFont="1" applyFill="1" applyBorder="1" applyAlignment="1">
      <alignment horizontal="center"/>
    </xf>
    <xf numFmtId="2" fontId="10" fillId="10" borderId="6" xfId="3" applyNumberFormat="1" applyFont="1" applyFill="1" applyBorder="1" applyAlignment="1">
      <alignment horizontal="center"/>
    </xf>
    <xf numFmtId="2" fontId="10" fillId="11" borderId="6" xfId="3" applyNumberFormat="1" applyFont="1" applyFill="1" applyBorder="1" applyAlignment="1">
      <alignment horizontal="center"/>
    </xf>
    <xf numFmtId="2" fontId="10" fillId="12" borderId="6" xfId="3" applyNumberFormat="1" applyFont="1" applyFill="1" applyBorder="1" applyAlignment="1">
      <alignment horizontal="center"/>
    </xf>
    <xf numFmtId="2" fontId="10" fillId="13" borderId="6" xfId="3" applyNumberFormat="1" applyFont="1" applyFill="1" applyBorder="1" applyAlignment="1">
      <alignment horizontal="center"/>
    </xf>
    <xf numFmtId="49" fontId="0" fillId="0" borderId="0" xfId="0" applyNumberFormat="1"/>
    <xf numFmtId="165" fontId="0" fillId="0" borderId="0" xfId="0" applyNumberFormat="1"/>
    <xf numFmtId="2" fontId="19" fillId="9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1" fillId="18" borderId="0" xfId="1" applyFill="1"/>
    <xf numFmtId="2" fontId="1" fillId="0" borderId="0" xfId="1" applyNumberFormat="1"/>
    <xf numFmtId="2" fontId="4" fillId="0" borderId="0" xfId="1" applyNumberFormat="1" applyFont="1"/>
    <xf numFmtId="0" fontId="0" fillId="5" borderId="0" xfId="0" applyFill="1"/>
    <xf numFmtId="0" fontId="22" fillId="0" borderId="1" xfId="0" applyFont="1" applyBorder="1"/>
    <xf numFmtId="164" fontId="23" fillId="0" borderId="1" xfId="1" applyNumberFormat="1" applyFont="1" applyBorder="1"/>
    <xf numFmtId="165" fontId="24" fillId="0" borderId="1" xfId="1" applyNumberFormat="1" applyFont="1" applyBorder="1"/>
    <xf numFmtId="166" fontId="23" fillId="0" borderId="1" xfId="0" applyNumberFormat="1" applyFont="1" applyBorder="1"/>
    <xf numFmtId="2" fontId="23" fillId="0" borderId="1" xfId="0" applyNumberFormat="1" applyFont="1" applyBorder="1"/>
    <xf numFmtId="165" fontId="23" fillId="0" borderId="1" xfId="1" applyNumberFormat="1" applyFont="1" applyBorder="1"/>
    <xf numFmtId="0" fontId="0" fillId="19" borderId="0" xfId="0" applyFill="1"/>
    <xf numFmtId="0" fontId="0" fillId="19" borderId="1" xfId="0" applyFill="1" applyBorder="1"/>
    <xf numFmtId="2" fontId="0" fillId="19" borderId="1" xfId="0" applyNumberFormat="1" applyFill="1" applyBorder="1"/>
    <xf numFmtId="165" fontId="0" fillId="19" borderId="1" xfId="0" applyNumberFormat="1" applyFill="1" applyBorder="1"/>
    <xf numFmtId="0" fontId="25" fillId="0" borderId="1" xfId="0" applyFont="1" applyBorder="1"/>
    <xf numFmtId="0" fontId="26" fillId="0" borderId="1" xfId="1" applyFont="1" applyBorder="1"/>
    <xf numFmtId="165" fontId="26" fillId="0" borderId="1" xfId="1" applyNumberFormat="1" applyFont="1" applyBorder="1"/>
    <xf numFmtId="165" fontId="4" fillId="0" borderId="1" xfId="1" applyNumberFormat="1" applyFont="1" applyBorder="1"/>
  </cellXfs>
  <cellStyles count="5">
    <cellStyle name="Good" xfId="3" builtinId="26"/>
    <cellStyle name="Neutral" xfId="4" builtinId="28"/>
    <cellStyle name="Normal" xfId="0" builtinId="0"/>
    <cellStyle name="Normál 2" xfId="1" xr:uid="{9107FF64-3676-9044-889D-1DB195DD5161}"/>
    <cellStyle name="Normál 3" xfId="2" xr:uid="{392A4407-F61D-8743-8E50-15A244654531}"/>
  </cellStyles>
  <dxfs count="23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>
          <fgColor indexed="64"/>
          <bgColor theme="4" tint="0.79998168889431442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/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>
          <fgColor indexed="64"/>
          <bgColor theme="4" tint="0.79998168889431442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3" tint="0.74999237037263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3" tint="0.74999237037263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3" tint="0.89999084444715716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3" tint="0.89999084444715716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3" tint="0.8999908444471571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5" tint="0.59999389629810485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5" tint="0.5999938962981048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5" tint="0.5999938962981048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5" tint="0.59999389629810485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5" tint="0.5999938962981048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212121"/>
        <name val="Aptos Narrow"/>
        <scheme val="none"/>
      </font>
      <numFmt numFmtId="2" formatCode="0.00"/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212121"/>
        <name val="Aptos Narrow"/>
        <scheme val="none"/>
      </font>
      <fill>
        <patternFill patternType="solid">
          <fgColor indexed="64"/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latin typeface="Symbol" panose="05050102010706020507" pitchFamily="18" charset="2"/>
              </a:rPr>
              <a:t>D</a:t>
            </a:r>
            <a:r>
              <a:rPr lang="hu-HU" baseline="30000"/>
              <a:t>14</a:t>
            </a:r>
            <a:r>
              <a:rPr lang="hu-HU"/>
              <a:t>C at different</a:t>
            </a:r>
            <a:r>
              <a:rPr lang="hu-HU" baseline="0"/>
              <a:t> sampling sites</a:t>
            </a:r>
          </a:p>
          <a:p>
            <a:pPr>
              <a:defRPr/>
            </a:pP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Budapest "B"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</c:v>
                </c:pt>
              </c:numLit>
            </c:plus>
            <c:minus>
              <c:numLit>
                <c:formatCode>General</c:formatCode>
                <c:ptCount val="1"/>
                <c:pt idx="0">
                  <c:v>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[1]Munka1!$N$3:$N$12</c:f>
              <c:numCache>
                <c:formatCode>General</c:formatCode>
                <c:ptCount val="10"/>
                <c:pt idx="0">
                  <c:v>2020.5</c:v>
                </c:pt>
                <c:pt idx="1">
                  <c:v>2019.5</c:v>
                </c:pt>
                <c:pt idx="2">
                  <c:v>2018.5</c:v>
                </c:pt>
                <c:pt idx="3">
                  <c:v>2017.5</c:v>
                </c:pt>
                <c:pt idx="4">
                  <c:v>2016.5</c:v>
                </c:pt>
                <c:pt idx="5">
                  <c:v>2015.5</c:v>
                </c:pt>
                <c:pt idx="6">
                  <c:v>2014.5</c:v>
                </c:pt>
                <c:pt idx="7">
                  <c:v>2013.5</c:v>
                </c:pt>
                <c:pt idx="8">
                  <c:v>2012.5</c:v>
                </c:pt>
                <c:pt idx="9">
                  <c:v>2011.5</c:v>
                </c:pt>
              </c:numCache>
            </c:numRef>
          </c:xVal>
          <c:yVal>
            <c:numRef>
              <c:f>[1]Munka1!$Q$3:$Q$12</c:f>
              <c:numCache>
                <c:formatCode>General</c:formatCode>
                <c:ptCount val="10"/>
                <c:pt idx="0">
                  <c:v>-24.960569523143516</c:v>
                </c:pt>
                <c:pt idx="1">
                  <c:v>-14.869406432279408</c:v>
                </c:pt>
                <c:pt idx="2">
                  <c:v>-5.2887508508042691</c:v>
                </c:pt>
                <c:pt idx="4">
                  <c:v>4.48510995424245</c:v>
                </c:pt>
                <c:pt idx="5">
                  <c:v>2.2765467774010784</c:v>
                </c:pt>
                <c:pt idx="6">
                  <c:v>12.523312324679736</c:v>
                </c:pt>
                <c:pt idx="7">
                  <c:v>28.180916312505744</c:v>
                </c:pt>
                <c:pt idx="9">
                  <c:v>35.365518552961106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0-0F46-AAA7-173CA26B411E}"/>
            </c:ext>
          </c:extLst>
        </c:ser>
        <c:ser>
          <c:idx val="3"/>
          <c:order val="1"/>
          <c:tx>
            <c:v>Budapest "A"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</c:v>
                </c:pt>
              </c:numLit>
            </c:plus>
            <c:minus>
              <c:numLit>
                <c:formatCode>General</c:formatCode>
                <c:ptCount val="1"/>
                <c:pt idx="0">
                  <c:v>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[1]Munka1!$D$3:$D$9</c:f>
              <c:numCache>
                <c:formatCode>General</c:formatCode>
                <c:ptCount val="7"/>
                <c:pt idx="0">
                  <c:v>2020.5</c:v>
                </c:pt>
                <c:pt idx="1">
                  <c:v>2019.5</c:v>
                </c:pt>
                <c:pt idx="2">
                  <c:v>2018.5</c:v>
                </c:pt>
                <c:pt idx="3">
                  <c:v>2017.5</c:v>
                </c:pt>
                <c:pt idx="4">
                  <c:v>2016.5</c:v>
                </c:pt>
                <c:pt idx="5">
                  <c:v>2015.5</c:v>
                </c:pt>
                <c:pt idx="6">
                  <c:v>2014.5</c:v>
                </c:pt>
              </c:numCache>
            </c:numRef>
          </c:xVal>
          <c:yVal>
            <c:numRef>
              <c:f>[1]Munka1!$G$3:$G$9</c:f>
              <c:numCache>
                <c:formatCode>General</c:formatCode>
                <c:ptCount val="7"/>
                <c:pt idx="1">
                  <c:v>-12.163842082813293</c:v>
                </c:pt>
                <c:pt idx="2">
                  <c:v>-0.8080378504007335</c:v>
                </c:pt>
                <c:pt idx="3">
                  <c:v>-1.2524483973967993</c:v>
                </c:pt>
                <c:pt idx="4">
                  <c:v>5.3194394838800285</c:v>
                </c:pt>
                <c:pt idx="5">
                  <c:v>12.721982166285395</c:v>
                </c:pt>
                <c:pt idx="6">
                  <c:v>17.591998437075816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C0-0F46-AAA7-173CA26B411E}"/>
            </c:ext>
          </c:extLst>
        </c:ser>
        <c:ser>
          <c:idx val="1"/>
          <c:order val="2"/>
          <c:tx>
            <c:v>Great Forest 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</c:v>
                </c:pt>
              </c:numLit>
            </c:plus>
            <c:minus>
              <c:numLit>
                <c:formatCode>General</c:formatCode>
                <c:ptCount val="1"/>
                <c:pt idx="0">
                  <c:v>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[1]Munka1!$X$3:$X$9</c:f>
              <c:numCache>
                <c:formatCode>General</c:formatCode>
                <c:ptCount val="7"/>
                <c:pt idx="0">
                  <c:v>2020.5</c:v>
                </c:pt>
                <c:pt idx="1">
                  <c:v>2019.5</c:v>
                </c:pt>
                <c:pt idx="2">
                  <c:v>2018.5</c:v>
                </c:pt>
                <c:pt idx="3">
                  <c:v>2017.5</c:v>
                </c:pt>
                <c:pt idx="4">
                  <c:v>2016.5</c:v>
                </c:pt>
                <c:pt idx="5">
                  <c:v>2015.5</c:v>
                </c:pt>
                <c:pt idx="6">
                  <c:v>2014.5</c:v>
                </c:pt>
              </c:numCache>
            </c:numRef>
          </c:xVal>
          <c:yVal>
            <c:numRef>
              <c:f>[1]Munka1!$AA$3:$AA$9</c:f>
              <c:numCache>
                <c:formatCode>General</c:formatCode>
                <c:ptCount val="7"/>
                <c:pt idx="0">
                  <c:v>2.2976717086842235</c:v>
                </c:pt>
                <c:pt idx="1">
                  <c:v>2.3367778016323282</c:v>
                </c:pt>
                <c:pt idx="2">
                  <c:v>4.9274463965547355</c:v>
                </c:pt>
                <c:pt idx="3">
                  <c:v>9.069423559097789</c:v>
                </c:pt>
                <c:pt idx="4">
                  <c:v>11.370934011000422</c:v>
                </c:pt>
                <c:pt idx="5">
                  <c:v>13.984918254944745</c:v>
                </c:pt>
                <c:pt idx="6">
                  <c:v>21.235901421385648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C0-0F46-AAA7-173CA26B411E}"/>
            </c:ext>
          </c:extLst>
        </c:ser>
        <c:ser>
          <c:idx val="2"/>
          <c:order val="3"/>
          <c:tx>
            <c:v>Hegyhátsál Background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</c:v>
                </c:pt>
              </c:numLit>
            </c:plus>
            <c:minus>
              <c:numLit>
                <c:formatCode>General</c:formatCode>
                <c:ptCount val="1"/>
                <c:pt idx="0">
                  <c:v>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[1]Munka1!$AG$3:$AG$9</c:f>
              <c:numCache>
                <c:formatCode>General</c:formatCode>
                <c:ptCount val="7"/>
                <c:pt idx="0">
                  <c:v>2020.5</c:v>
                </c:pt>
                <c:pt idx="1">
                  <c:v>2019.5</c:v>
                </c:pt>
                <c:pt idx="2">
                  <c:v>2018.5</c:v>
                </c:pt>
                <c:pt idx="3">
                  <c:v>2017.5</c:v>
                </c:pt>
                <c:pt idx="4">
                  <c:v>2016.5</c:v>
                </c:pt>
                <c:pt idx="5">
                  <c:v>2015.5</c:v>
                </c:pt>
                <c:pt idx="6">
                  <c:v>2014.5</c:v>
                </c:pt>
              </c:numCache>
            </c:numRef>
          </c:xVal>
          <c:yVal>
            <c:numRef>
              <c:f>[1]Munka1!$AJ$3:$AJ$9</c:f>
              <c:numCache>
                <c:formatCode>General</c:formatCode>
                <c:ptCount val="7"/>
                <c:pt idx="0">
                  <c:v>-2.9316735436962782</c:v>
                </c:pt>
                <c:pt idx="1">
                  <c:v>-2.3098090097616319</c:v>
                </c:pt>
                <c:pt idx="2">
                  <c:v>5.8205528854071709</c:v>
                </c:pt>
                <c:pt idx="3">
                  <c:v>3.3379952836387616</c:v>
                </c:pt>
                <c:pt idx="4">
                  <c:v>5.3422419092914453</c:v>
                </c:pt>
                <c:pt idx="5">
                  <c:v>9.2946038101393569</c:v>
                </c:pt>
                <c:pt idx="6">
                  <c:v>15.362214949751651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C0-0F46-AAA7-173CA26B411E}"/>
            </c:ext>
          </c:extLst>
        </c:ser>
        <c:ser>
          <c:idx val="4"/>
          <c:order val="4"/>
          <c:tx>
            <c:v>Budaörsi út A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[1]Munka1!$D$16:$D$25</c:f>
              <c:numCache>
                <c:formatCode>General</c:formatCode>
                <c:ptCount val="10"/>
                <c:pt idx="0">
                  <c:v>2021.5</c:v>
                </c:pt>
                <c:pt idx="1">
                  <c:v>2020.5</c:v>
                </c:pt>
                <c:pt idx="2">
                  <c:v>2019.5</c:v>
                </c:pt>
                <c:pt idx="3">
                  <c:v>2018.5</c:v>
                </c:pt>
                <c:pt idx="4">
                  <c:v>2017.5</c:v>
                </c:pt>
                <c:pt idx="5">
                  <c:v>2016.5</c:v>
                </c:pt>
                <c:pt idx="6">
                  <c:v>2015.5</c:v>
                </c:pt>
                <c:pt idx="7">
                  <c:v>2014.5</c:v>
                </c:pt>
                <c:pt idx="8">
                  <c:v>2013.5</c:v>
                </c:pt>
                <c:pt idx="9">
                  <c:v>2012.5</c:v>
                </c:pt>
              </c:numCache>
            </c:numRef>
          </c:xVal>
          <c:yVal>
            <c:numRef>
              <c:f>[1]Munka1!$G$16:$G$25</c:f>
              <c:numCache>
                <c:formatCode>General</c:formatCode>
                <c:ptCount val="10"/>
                <c:pt idx="0">
                  <c:v>-15.451429802593175</c:v>
                </c:pt>
                <c:pt idx="1">
                  <c:v>-15.37224246351343</c:v>
                </c:pt>
                <c:pt idx="2">
                  <c:v>-11.473699018396566</c:v>
                </c:pt>
                <c:pt idx="3">
                  <c:v>-8.2095972976220501</c:v>
                </c:pt>
                <c:pt idx="4">
                  <c:v>2.9797316888120484</c:v>
                </c:pt>
                <c:pt idx="5">
                  <c:v>-1.8804653203079447</c:v>
                </c:pt>
                <c:pt idx="6">
                  <c:v>4.5278093941967246</c:v>
                </c:pt>
                <c:pt idx="7">
                  <c:v>15.476816915586777</c:v>
                </c:pt>
                <c:pt idx="8">
                  <c:v>19.301602634753223</c:v>
                </c:pt>
                <c:pt idx="9">
                  <c:v>14.742772069062715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C0-0F46-AAA7-173CA26B411E}"/>
            </c:ext>
          </c:extLst>
        </c:ser>
        <c:ser>
          <c:idx val="5"/>
          <c:order val="5"/>
          <c:tx>
            <c:v>Budaörsi út B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[1]Munka1!$D$30:$D$39</c:f>
              <c:numCache>
                <c:formatCode>General</c:formatCode>
                <c:ptCount val="10"/>
                <c:pt idx="0">
                  <c:v>2021.5</c:v>
                </c:pt>
                <c:pt idx="1">
                  <c:v>2020.5</c:v>
                </c:pt>
                <c:pt idx="2">
                  <c:v>2019.5</c:v>
                </c:pt>
                <c:pt idx="3">
                  <c:v>2018.5</c:v>
                </c:pt>
                <c:pt idx="4">
                  <c:v>2017.5</c:v>
                </c:pt>
                <c:pt idx="5">
                  <c:v>2016.5</c:v>
                </c:pt>
                <c:pt idx="6">
                  <c:v>2015.5</c:v>
                </c:pt>
                <c:pt idx="7">
                  <c:v>2014.5</c:v>
                </c:pt>
                <c:pt idx="8">
                  <c:v>2013.5</c:v>
                </c:pt>
                <c:pt idx="9">
                  <c:v>2012.5</c:v>
                </c:pt>
              </c:numCache>
            </c:numRef>
          </c:xVal>
          <c:yVal>
            <c:numRef>
              <c:f>[1]Munka1!$G$30:$G$39</c:f>
              <c:numCache>
                <c:formatCode>General</c:formatCode>
                <c:ptCount val="10"/>
                <c:pt idx="0">
                  <c:v>-15.428862890482398</c:v>
                </c:pt>
                <c:pt idx="1">
                  <c:v>-14.633063864069374</c:v>
                </c:pt>
                <c:pt idx="2">
                  <c:v>-12.694932598205643</c:v>
                </c:pt>
                <c:pt idx="3">
                  <c:v>-8.6932299581866666</c:v>
                </c:pt>
                <c:pt idx="4">
                  <c:v>-5.7878867797812594</c:v>
                </c:pt>
                <c:pt idx="5">
                  <c:v>-0.62571921601195513</c:v>
                </c:pt>
                <c:pt idx="6">
                  <c:v>5.3557849011263148</c:v>
                </c:pt>
                <c:pt idx="7">
                  <c:v>10.355831485505229</c:v>
                </c:pt>
                <c:pt idx="8">
                  <c:v>23.361104086422337</c:v>
                </c:pt>
                <c:pt idx="9">
                  <c:v>11.895201280981205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C0-0F46-AAA7-173CA26B4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08399"/>
        <c:axId val="24004239"/>
      </c:scatterChart>
      <c:valAx>
        <c:axId val="24008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U"/>
          </a:p>
        </c:txPr>
        <c:crossAx val="24004239"/>
        <c:crosses val="autoZero"/>
        <c:crossBetween val="midCat"/>
      </c:valAx>
      <c:valAx>
        <c:axId val="2400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2400">
                    <a:latin typeface="Symbol" panose="05050102010706020507" pitchFamily="18" charset="2"/>
                  </a:rPr>
                  <a:t>D</a:t>
                </a:r>
                <a:r>
                  <a:rPr lang="hu-HU" sz="2400" baseline="30000"/>
                  <a:t>14</a:t>
                </a:r>
                <a:r>
                  <a:rPr lang="hu-HU" sz="2400"/>
                  <a:t>C</a:t>
                </a:r>
                <a:endParaRPr lang="en-GB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U"/>
          </a:p>
        </c:txPr>
        <c:crossAx val="240083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D14C difference from HHS</a:t>
            </a:r>
            <a:br>
              <a:rPr lang="hu-HU"/>
            </a:br>
            <a:r>
              <a:rPr lang="hu-HU"/>
              <a:t>(positive means higher fossil content)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[1]Munka1!$D$4:$D$9</c:f>
              <c:numCache>
                <c:formatCode>General</c:formatCode>
                <c:ptCount val="6"/>
                <c:pt idx="0">
                  <c:v>2019.5</c:v>
                </c:pt>
                <c:pt idx="1">
                  <c:v>2018.5</c:v>
                </c:pt>
                <c:pt idx="2">
                  <c:v>2017.5</c:v>
                </c:pt>
                <c:pt idx="3">
                  <c:v>2016.5</c:v>
                </c:pt>
                <c:pt idx="4">
                  <c:v>2015.5</c:v>
                </c:pt>
                <c:pt idx="5">
                  <c:v>2014.5</c:v>
                </c:pt>
              </c:numCache>
            </c:numRef>
          </c:xVal>
          <c:yVal>
            <c:numRef>
              <c:f>[1]Munka1!$I$4:$I$9</c:f>
              <c:numCache>
                <c:formatCode>General</c:formatCode>
                <c:ptCount val="6"/>
                <c:pt idx="0">
                  <c:v>9.8540330730516601</c:v>
                </c:pt>
                <c:pt idx="1">
                  <c:v>6.6285907358079044</c:v>
                </c:pt>
                <c:pt idx="2">
                  <c:v>4.5904436810355609</c:v>
                </c:pt>
                <c:pt idx="3">
                  <c:v>2.2802425411416749E-2</c:v>
                </c:pt>
                <c:pt idx="4">
                  <c:v>-3.427378356146038</c:v>
                </c:pt>
                <c:pt idx="5">
                  <c:v>-2.2297834873241644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BB-464F-A05F-71055A2E7EC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[1]Munka1!$N$3:$N$12</c:f>
              <c:numCache>
                <c:formatCode>General</c:formatCode>
                <c:ptCount val="10"/>
                <c:pt idx="0">
                  <c:v>2020.5</c:v>
                </c:pt>
                <c:pt idx="1">
                  <c:v>2019.5</c:v>
                </c:pt>
                <c:pt idx="2">
                  <c:v>2018.5</c:v>
                </c:pt>
                <c:pt idx="3">
                  <c:v>2017.5</c:v>
                </c:pt>
                <c:pt idx="4">
                  <c:v>2016.5</c:v>
                </c:pt>
                <c:pt idx="5">
                  <c:v>2015.5</c:v>
                </c:pt>
                <c:pt idx="6">
                  <c:v>2014.5</c:v>
                </c:pt>
                <c:pt idx="7">
                  <c:v>2013.5</c:v>
                </c:pt>
                <c:pt idx="8">
                  <c:v>2012.5</c:v>
                </c:pt>
                <c:pt idx="9">
                  <c:v>2011.5</c:v>
                </c:pt>
              </c:numCache>
            </c:numRef>
          </c:xVal>
          <c:yVal>
            <c:numRef>
              <c:f>[1]Munka1!$S$3:$S$12</c:f>
              <c:numCache>
                <c:formatCode>General</c:formatCode>
                <c:ptCount val="10"/>
                <c:pt idx="0">
                  <c:v>22.028895979447238</c:v>
                </c:pt>
                <c:pt idx="1">
                  <c:v>12.559597422517776</c:v>
                </c:pt>
                <c:pt idx="2">
                  <c:v>11.109303736211441</c:v>
                </c:pt>
                <c:pt idx="4">
                  <c:v>0.85713195504899531</c:v>
                </c:pt>
                <c:pt idx="5">
                  <c:v>7.0180570327382785</c:v>
                </c:pt>
                <c:pt idx="6">
                  <c:v>2.8389026250719152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BB-464F-A05F-71055A2E7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95919"/>
        <c:axId val="23985935"/>
      </c:scatterChart>
      <c:valAx>
        <c:axId val="2399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U"/>
          </a:p>
        </c:txPr>
        <c:crossAx val="23985935"/>
        <c:crosses val="autoZero"/>
        <c:crossBetween val="midCat"/>
      </c:valAx>
      <c:valAx>
        <c:axId val="23985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U"/>
          </a:p>
        </c:txPr>
        <c:crossAx val="23995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Budapest "A"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</c:v>
                </c:pt>
              </c:numLit>
            </c:plus>
            <c:minus>
              <c:numLit>
                <c:formatCode>General</c:formatCode>
                <c:ptCount val="1"/>
                <c:pt idx="0">
                  <c:v>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[1]Munka1!$D$3:$D$9</c:f>
              <c:numCache>
                <c:formatCode>General</c:formatCode>
                <c:ptCount val="7"/>
                <c:pt idx="0">
                  <c:v>2020.5</c:v>
                </c:pt>
                <c:pt idx="1">
                  <c:v>2019.5</c:v>
                </c:pt>
                <c:pt idx="2">
                  <c:v>2018.5</c:v>
                </c:pt>
                <c:pt idx="3">
                  <c:v>2017.5</c:v>
                </c:pt>
                <c:pt idx="4">
                  <c:v>2016.5</c:v>
                </c:pt>
                <c:pt idx="5">
                  <c:v>2015.5</c:v>
                </c:pt>
                <c:pt idx="6">
                  <c:v>2014.5</c:v>
                </c:pt>
              </c:numCache>
            </c:numRef>
          </c:xVal>
          <c:yVal>
            <c:numRef>
              <c:f>[1]Munka1!$G$3:$G$9</c:f>
              <c:numCache>
                <c:formatCode>General</c:formatCode>
                <c:ptCount val="7"/>
                <c:pt idx="1">
                  <c:v>-12.163842082813293</c:v>
                </c:pt>
                <c:pt idx="2">
                  <c:v>-0.8080378504007335</c:v>
                </c:pt>
                <c:pt idx="3">
                  <c:v>-1.2524483973967993</c:v>
                </c:pt>
                <c:pt idx="4">
                  <c:v>5.3194394838800285</c:v>
                </c:pt>
                <c:pt idx="5">
                  <c:v>12.721982166285395</c:v>
                </c:pt>
                <c:pt idx="6">
                  <c:v>17.591998437075816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4-8947-9D18-A5176BA1043A}"/>
            </c:ext>
          </c:extLst>
        </c:ser>
        <c:ser>
          <c:idx val="4"/>
          <c:order val="3"/>
          <c:tx>
            <c:v>Budaörsi street A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[1]Munka1!$D$16:$D$25</c:f>
              <c:numCache>
                <c:formatCode>General</c:formatCode>
                <c:ptCount val="10"/>
                <c:pt idx="0">
                  <c:v>2021.5</c:v>
                </c:pt>
                <c:pt idx="1">
                  <c:v>2020.5</c:v>
                </c:pt>
                <c:pt idx="2">
                  <c:v>2019.5</c:v>
                </c:pt>
                <c:pt idx="3">
                  <c:v>2018.5</c:v>
                </c:pt>
                <c:pt idx="4">
                  <c:v>2017.5</c:v>
                </c:pt>
                <c:pt idx="5">
                  <c:v>2016.5</c:v>
                </c:pt>
                <c:pt idx="6">
                  <c:v>2015.5</c:v>
                </c:pt>
                <c:pt idx="7">
                  <c:v>2014.5</c:v>
                </c:pt>
                <c:pt idx="8">
                  <c:v>2013.5</c:v>
                </c:pt>
                <c:pt idx="9">
                  <c:v>2012.5</c:v>
                </c:pt>
              </c:numCache>
            </c:numRef>
          </c:xVal>
          <c:yVal>
            <c:numRef>
              <c:f>[1]Munka1!$G$16:$G$25</c:f>
              <c:numCache>
                <c:formatCode>General</c:formatCode>
                <c:ptCount val="10"/>
                <c:pt idx="0">
                  <c:v>-15.451429802593175</c:v>
                </c:pt>
                <c:pt idx="1">
                  <c:v>-15.37224246351343</c:v>
                </c:pt>
                <c:pt idx="2">
                  <c:v>-11.473699018396566</c:v>
                </c:pt>
                <c:pt idx="3">
                  <c:v>-8.2095972976220501</c:v>
                </c:pt>
                <c:pt idx="4">
                  <c:v>2.9797316888120484</c:v>
                </c:pt>
                <c:pt idx="5">
                  <c:v>-1.8804653203079447</c:v>
                </c:pt>
                <c:pt idx="6">
                  <c:v>4.5278093941967246</c:v>
                </c:pt>
                <c:pt idx="7">
                  <c:v>15.476816915586777</c:v>
                </c:pt>
                <c:pt idx="8">
                  <c:v>19.301602634753223</c:v>
                </c:pt>
                <c:pt idx="9">
                  <c:v>14.742772069062715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64-8947-9D18-A5176BA1043A}"/>
            </c:ext>
          </c:extLst>
        </c:ser>
        <c:ser>
          <c:idx val="5"/>
          <c:order val="4"/>
          <c:tx>
            <c:v>Budaörsi street B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[1]Munka1!$D$30:$D$39</c:f>
              <c:numCache>
                <c:formatCode>General</c:formatCode>
                <c:ptCount val="10"/>
                <c:pt idx="0">
                  <c:v>2021.5</c:v>
                </c:pt>
                <c:pt idx="1">
                  <c:v>2020.5</c:v>
                </c:pt>
                <c:pt idx="2">
                  <c:v>2019.5</c:v>
                </c:pt>
                <c:pt idx="3">
                  <c:v>2018.5</c:v>
                </c:pt>
                <c:pt idx="4">
                  <c:v>2017.5</c:v>
                </c:pt>
                <c:pt idx="5">
                  <c:v>2016.5</c:v>
                </c:pt>
                <c:pt idx="6">
                  <c:v>2015.5</c:v>
                </c:pt>
                <c:pt idx="7">
                  <c:v>2014.5</c:v>
                </c:pt>
                <c:pt idx="8">
                  <c:v>2013.5</c:v>
                </c:pt>
                <c:pt idx="9">
                  <c:v>2012.5</c:v>
                </c:pt>
              </c:numCache>
            </c:numRef>
          </c:xVal>
          <c:yVal>
            <c:numRef>
              <c:f>[1]Munka1!$G$30:$G$39</c:f>
              <c:numCache>
                <c:formatCode>General</c:formatCode>
                <c:ptCount val="10"/>
                <c:pt idx="0">
                  <c:v>-15.428862890482398</c:v>
                </c:pt>
                <c:pt idx="1">
                  <c:v>-14.633063864069374</c:v>
                </c:pt>
                <c:pt idx="2">
                  <c:v>-12.694932598205643</c:v>
                </c:pt>
                <c:pt idx="3">
                  <c:v>-8.6932299581866666</c:v>
                </c:pt>
                <c:pt idx="4">
                  <c:v>-5.7878867797812594</c:v>
                </c:pt>
                <c:pt idx="5">
                  <c:v>-0.62571921601195513</c:v>
                </c:pt>
                <c:pt idx="6">
                  <c:v>5.3557849011263148</c:v>
                </c:pt>
                <c:pt idx="7">
                  <c:v>10.355831485505229</c:v>
                </c:pt>
                <c:pt idx="8">
                  <c:v>23.361104086422337</c:v>
                </c:pt>
                <c:pt idx="9">
                  <c:v>11.895201280981205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64-8947-9D18-A5176BA10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08399"/>
        <c:axId val="24004239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Great Forest 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"/>
                      <c:pt idx="0">
                        <c:v>2</c:v>
                      </c:pt>
                    </c:numLit>
                  </c:plus>
                  <c:minus>
                    <c:numLit>
                      <c:formatCode>General</c:formatCode>
                      <c:ptCount val="1"/>
                      <c:pt idx="0">
                        <c:v>2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>
                      <c:ext uri="{02D57815-91ED-43cb-92C2-25804820EDAC}">
                        <c15:formulaRef>
                          <c15:sqref>[1]Munka1!$X$3:$X$9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2020.5</c:v>
                      </c:pt>
                      <c:pt idx="1">
                        <c:v>2019.5</c:v>
                      </c:pt>
                      <c:pt idx="2">
                        <c:v>2018.5</c:v>
                      </c:pt>
                      <c:pt idx="3">
                        <c:v>2017.5</c:v>
                      </c:pt>
                      <c:pt idx="4">
                        <c:v>2016.5</c:v>
                      </c:pt>
                      <c:pt idx="5">
                        <c:v>2015.5</c:v>
                      </c:pt>
                      <c:pt idx="6">
                        <c:v>2014.5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[1]Munka1!$AA$3:$AA$9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2.2976717086842235</c:v>
                      </c:pt>
                      <c:pt idx="1">
                        <c:v>2.3367778016323282</c:v>
                      </c:pt>
                      <c:pt idx="2">
                        <c:v>4.9274463965547355</c:v>
                      </c:pt>
                      <c:pt idx="3">
                        <c:v>9.069423559097789</c:v>
                      </c:pt>
                      <c:pt idx="4">
                        <c:v>11.370934011000422</c:v>
                      </c:pt>
                      <c:pt idx="5">
                        <c:v>13.984918254944745</c:v>
                      </c:pt>
                      <c:pt idx="6">
                        <c:v>21.235901421385648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D964-8947-9D18-A5176BA1043A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Hegyhátsál Background</c:v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"/>
                      <c:pt idx="0">
                        <c:v>2</c:v>
                      </c:pt>
                    </c:numLit>
                  </c:plus>
                  <c:minus>
                    <c:numLit>
                      <c:formatCode>General</c:formatCode>
                      <c:ptCount val="1"/>
                      <c:pt idx="0">
                        <c:v>2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[1]Munka1!$AG$3:$AG$9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2020.5</c:v>
                      </c:pt>
                      <c:pt idx="1">
                        <c:v>2019.5</c:v>
                      </c:pt>
                      <c:pt idx="2">
                        <c:v>2018.5</c:v>
                      </c:pt>
                      <c:pt idx="3">
                        <c:v>2017.5</c:v>
                      </c:pt>
                      <c:pt idx="4">
                        <c:v>2016.5</c:v>
                      </c:pt>
                      <c:pt idx="5">
                        <c:v>2015.5</c:v>
                      </c:pt>
                      <c:pt idx="6">
                        <c:v>2014.5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[1]Munka1!$AJ$3:$AJ$9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-2.9316735436962782</c:v>
                      </c:pt>
                      <c:pt idx="1">
                        <c:v>-2.3098090097616319</c:v>
                      </c:pt>
                      <c:pt idx="2">
                        <c:v>5.8205528854071709</c:v>
                      </c:pt>
                      <c:pt idx="3">
                        <c:v>3.3379952836387616</c:v>
                      </c:pt>
                      <c:pt idx="4">
                        <c:v>5.3422419092914453</c:v>
                      </c:pt>
                      <c:pt idx="5">
                        <c:v>9.2946038101393569</c:v>
                      </c:pt>
                      <c:pt idx="6">
                        <c:v>15.362214949751651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64-8947-9D18-A5176BA1043A}"/>
                  </c:ext>
                </c:extLst>
              </c15:ser>
            </c15:filteredScatterSeries>
          </c:ext>
        </c:extLst>
      </c:scatterChart>
      <c:valAx>
        <c:axId val="24008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U"/>
          </a:p>
        </c:txPr>
        <c:crossAx val="24004239"/>
        <c:crosses val="autoZero"/>
        <c:crossBetween val="midCat"/>
      </c:valAx>
      <c:valAx>
        <c:axId val="2400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2400">
                    <a:latin typeface="Symbol" panose="05050102010706020507" pitchFamily="18" charset="2"/>
                  </a:rPr>
                  <a:t>D</a:t>
                </a:r>
                <a:r>
                  <a:rPr lang="hu-HU" sz="2400" baseline="30000"/>
                  <a:t>14</a:t>
                </a:r>
                <a:r>
                  <a:rPr lang="hu-HU" sz="2400"/>
                  <a:t>C</a:t>
                </a:r>
                <a:endParaRPr lang="en-GB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U"/>
          </a:p>
        </c:txPr>
        <c:crossAx val="240083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latin typeface="Symbol" panose="05050102010706020507" pitchFamily="18" charset="2"/>
              </a:rPr>
              <a:t>D</a:t>
            </a:r>
            <a:r>
              <a:rPr lang="hu-HU" baseline="30000"/>
              <a:t>14</a:t>
            </a:r>
            <a:r>
              <a:rPr lang="hu-HU"/>
              <a:t>C at different</a:t>
            </a:r>
            <a:r>
              <a:rPr lang="hu-HU" baseline="0"/>
              <a:t> sampling sites</a:t>
            </a:r>
          </a:p>
          <a:p>
            <a:pPr>
              <a:defRPr/>
            </a:pP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U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3"/>
          <c:tx>
            <c:v>Hegyhátsál Background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</c:v>
                </c:pt>
              </c:numLit>
            </c:plus>
            <c:minus>
              <c:numLit>
                <c:formatCode>General</c:formatCode>
                <c:ptCount val="1"/>
                <c:pt idx="0">
                  <c:v>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[1]Munka1!$AG$3:$AG$9</c:f>
              <c:numCache>
                <c:formatCode>General</c:formatCode>
                <c:ptCount val="7"/>
                <c:pt idx="0">
                  <c:v>2020.5</c:v>
                </c:pt>
                <c:pt idx="1">
                  <c:v>2019.5</c:v>
                </c:pt>
                <c:pt idx="2">
                  <c:v>2018.5</c:v>
                </c:pt>
                <c:pt idx="3">
                  <c:v>2017.5</c:v>
                </c:pt>
                <c:pt idx="4">
                  <c:v>2016.5</c:v>
                </c:pt>
                <c:pt idx="5">
                  <c:v>2015.5</c:v>
                </c:pt>
                <c:pt idx="6">
                  <c:v>2014.5</c:v>
                </c:pt>
              </c:numCache>
            </c:numRef>
          </c:xVal>
          <c:yVal>
            <c:numRef>
              <c:f>[1]Munka1!$AJ$3:$AJ$9</c:f>
              <c:numCache>
                <c:formatCode>General</c:formatCode>
                <c:ptCount val="7"/>
                <c:pt idx="0">
                  <c:v>-2.9316735436962782</c:v>
                </c:pt>
                <c:pt idx="1">
                  <c:v>-2.3098090097616319</c:v>
                </c:pt>
                <c:pt idx="2">
                  <c:v>5.8205528854071709</c:v>
                </c:pt>
                <c:pt idx="3">
                  <c:v>3.3379952836387616</c:v>
                </c:pt>
                <c:pt idx="4">
                  <c:v>5.3422419092914453</c:v>
                </c:pt>
                <c:pt idx="5">
                  <c:v>9.2946038101393569</c:v>
                </c:pt>
                <c:pt idx="6">
                  <c:v>15.362214949751651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7-934A-83B7-4279E64F27D4}"/>
            </c:ext>
          </c:extLst>
        </c:ser>
        <c:ser>
          <c:idx val="4"/>
          <c:order val="4"/>
          <c:tx>
            <c:v>Budaörsi út A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[1]Munka1!$D$16:$D$25</c:f>
              <c:numCache>
                <c:formatCode>General</c:formatCode>
                <c:ptCount val="10"/>
                <c:pt idx="0">
                  <c:v>2021.5</c:v>
                </c:pt>
                <c:pt idx="1">
                  <c:v>2020.5</c:v>
                </c:pt>
                <c:pt idx="2">
                  <c:v>2019.5</c:v>
                </c:pt>
                <c:pt idx="3">
                  <c:v>2018.5</c:v>
                </c:pt>
                <c:pt idx="4">
                  <c:v>2017.5</c:v>
                </c:pt>
                <c:pt idx="5">
                  <c:v>2016.5</c:v>
                </c:pt>
                <c:pt idx="6">
                  <c:v>2015.5</c:v>
                </c:pt>
                <c:pt idx="7">
                  <c:v>2014.5</c:v>
                </c:pt>
                <c:pt idx="8">
                  <c:v>2013.5</c:v>
                </c:pt>
                <c:pt idx="9">
                  <c:v>2012.5</c:v>
                </c:pt>
              </c:numCache>
            </c:numRef>
          </c:xVal>
          <c:yVal>
            <c:numRef>
              <c:f>[1]Munka1!$G$16:$G$25</c:f>
              <c:numCache>
                <c:formatCode>General</c:formatCode>
                <c:ptCount val="10"/>
                <c:pt idx="0">
                  <c:v>-15.451429802593175</c:v>
                </c:pt>
                <c:pt idx="1">
                  <c:v>-15.37224246351343</c:v>
                </c:pt>
                <c:pt idx="2">
                  <c:v>-11.473699018396566</c:v>
                </c:pt>
                <c:pt idx="3">
                  <c:v>-8.2095972976220501</c:v>
                </c:pt>
                <c:pt idx="4">
                  <c:v>2.9797316888120484</c:v>
                </c:pt>
                <c:pt idx="5">
                  <c:v>-1.8804653203079447</c:v>
                </c:pt>
                <c:pt idx="6">
                  <c:v>4.5278093941967246</c:v>
                </c:pt>
                <c:pt idx="7">
                  <c:v>15.476816915586777</c:v>
                </c:pt>
                <c:pt idx="8">
                  <c:v>19.301602634753223</c:v>
                </c:pt>
                <c:pt idx="9">
                  <c:v>14.742772069062715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7-934A-83B7-4279E64F27D4}"/>
            </c:ext>
          </c:extLst>
        </c:ser>
        <c:ser>
          <c:idx val="5"/>
          <c:order val="5"/>
          <c:tx>
            <c:v>Budaörsi út B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[1]Munka1!$D$30:$D$39</c:f>
              <c:numCache>
                <c:formatCode>General</c:formatCode>
                <c:ptCount val="10"/>
                <c:pt idx="0">
                  <c:v>2021.5</c:v>
                </c:pt>
                <c:pt idx="1">
                  <c:v>2020.5</c:v>
                </c:pt>
                <c:pt idx="2">
                  <c:v>2019.5</c:v>
                </c:pt>
                <c:pt idx="3">
                  <c:v>2018.5</c:v>
                </c:pt>
                <c:pt idx="4">
                  <c:v>2017.5</c:v>
                </c:pt>
                <c:pt idx="5">
                  <c:v>2016.5</c:v>
                </c:pt>
                <c:pt idx="6">
                  <c:v>2015.5</c:v>
                </c:pt>
                <c:pt idx="7">
                  <c:v>2014.5</c:v>
                </c:pt>
                <c:pt idx="8">
                  <c:v>2013.5</c:v>
                </c:pt>
                <c:pt idx="9">
                  <c:v>2012.5</c:v>
                </c:pt>
              </c:numCache>
            </c:numRef>
          </c:xVal>
          <c:yVal>
            <c:numRef>
              <c:f>[1]Munka1!$G$30:$G$39</c:f>
              <c:numCache>
                <c:formatCode>General</c:formatCode>
                <c:ptCount val="10"/>
                <c:pt idx="0">
                  <c:v>-15.428862890482398</c:v>
                </c:pt>
                <c:pt idx="1">
                  <c:v>-14.633063864069374</c:v>
                </c:pt>
                <c:pt idx="2">
                  <c:v>-12.694932598205643</c:v>
                </c:pt>
                <c:pt idx="3">
                  <c:v>-8.6932299581866666</c:v>
                </c:pt>
                <c:pt idx="4">
                  <c:v>-5.7878867797812594</c:v>
                </c:pt>
                <c:pt idx="5">
                  <c:v>-0.62571921601195513</c:v>
                </c:pt>
                <c:pt idx="6">
                  <c:v>5.3557849011263148</c:v>
                </c:pt>
                <c:pt idx="7">
                  <c:v>10.355831485505229</c:v>
                </c:pt>
                <c:pt idx="8">
                  <c:v>23.361104086422337</c:v>
                </c:pt>
                <c:pt idx="9">
                  <c:v>11.895201280981205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7-934A-83B7-4279E64F27D4}"/>
            </c:ext>
          </c:extLst>
        </c:ser>
        <c:ser>
          <c:idx val="6"/>
          <c:order val="6"/>
          <c:tx>
            <c:v>Déli pu A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[1]Munka1!$C$3:$C$9</c:f>
              <c:numCache>
                <c:formatCode>General</c:formatCode>
                <c:ptCount val="7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</c:numCache>
            </c:numRef>
          </c:xVal>
          <c:yVal>
            <c:numRef>
              <c:f>[1]Munka1!$G$3:$G$9</c:f>
              <c:numCache>
                <c:formatCode>General</c:formatCode>
                <c:ptCount val="7"/>
                <c:pt idx="1">
                  <c:v>-12.163842082813293</c:v>
                </c:pt>
                <c:pt idx="2">
                  <c:v>-0.8080378504007335</c:v>
                </c:pt>
                <c:pt idx="3">
                  <c:v>-1.2524483973967993</c:v>
                </c:pt>
                <c:pt idx="4">
                  <c:v>5.3194394838800285</c:v>
                </c:pt>
                <c:pt idx="5">
                  <c:v>12.721982166285395</c:v>
                </c:pt>
                <c:pt idx="6">
                  <c:v>17.591998437075816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7-934A-83B7-4279E64F27D4}"/>
            </c:ext>
          </c:extLst>
        </c:ser>
        <c:ser>
          <c:idx val="7"/>
          <c:order val="7"/>
          <c:tx>
            <c:v>Déli pu B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[1]Munka1!$M$3:$M$12</c:f>
              <c:numCache>
                <c:formatCode>General</c:formatCode>
                <c:ptCount val="10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</c:numCache>
            </c:numRef>
          </c:xVal>
          <c:yVal>
            <c:numRef>
              <c:f>[1]Munka1!$Q$3:$Q$12</c:f>
              <c:numCache>
                <c:formatCode>General</c:formatCode>
                <c:ptCount val="10"/>
                <c:pt idx="0">
                  <c:v>-24.960569523143516</c:v>
                </c:pt>
                <c:pt idx="1">
                  <c:v>-14.869406432279408</c:v>
                </c:pt>
                <c:pt idx="2">
                  <c:v>-5.2887508508042691</c:v>
                </c:pt>
                <c:pt idx="4">
                  <c:v>4.48510995424245</c:v>
                </c:pt>
                <c:pt idx="5">
                  <c:v>2.2765467774010784</c:v>
                </c:pt>
                <c:pt idx="6">
                  <c:v>12.523312324679736</c:v>
                </c:pt>
                <c:pt idx="7">
                  <c:v>28.180916312505744</c:v>
                </c:pt>
                <c:pt idx="9">
                  <c:v>35.365518552961106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7-934A-83B7-4279E64F2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08399"/>
        <c:axId val="24004239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Budapest "B"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"/>
                      <c:pt idx="0">
                        <c:v>2</c:v>
                      </c:pt>
                    </c:numLit>
                  </c:plus>
                  <c:minus>
                    <c:numLit>
                      <c:formatCode>General</c:formatCode>
                      <c:ptCount val="1"/>
                      <c:pt idx="0">
                        <c:v>2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>
                      <c:ext uri="{02D57815-91ED-43cb-92C2-25804820EDAC}">
                        <c15:formulaRef>
                          <c15:sqref>[1]Munka1!$N$3:$N$12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2020.5</c:v>
                      </c:pt>
                      <c:pt idx="1">
                        <c:v>2019.5</c:v>
                      </c:pt>
                      <c:pt idx="2">
                        <c:v>2018.5</c:v>
                      </c:pt>
                      <c:pt idx="3">
                        <c:v>2017.5</c:v>
                      </c:pt>
                      <c:pt idx="4">
                        <c:v>2016.5</c:v>
                      </c:pt>
                      <c:pt idx="5">
                        <c:v>2015.5</c:v>
                      </c:pt>
                      <c:pt idx="6">
                        <c:v>2014.5</c:v>
                      </c:pt>
                      <c:pt idx="7">
                        <c:v>2013.5</c:v>
                      </c:pt>
                      <c:pt idx="8">
                        <c:v>2012.5</c:v>
                      </c:pt>
                      <c:pt idx="9">
                        <c:v>2011.5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[1]Munka1!$Q$3:$Q$12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-24.960569523143516</c:v>
                      </c:pt>
                      <c:pt idx="1">
                        <c:v>-14.869406432279408</c:v>
                      </c:pt>
                      <c:pt idx="2">
                        <c:v>-5.2887508508042691</c:v>
                      </c:pt>
                      <c:pt idx="4">
                        <c:v>4.48510995424245</c:v>
                      </c:pt>
                      <c:pt idx="5">
                        <c:v>2.2765467774010784</c:v>
                      </c:pt>
                      <c:pt idx="6">
                        <c:v>12.523312324679736</c:v>
                      </c:pt>
                      <c:pt idx="7">
                        <c:v>28.180916312505744</c:v>
                      </c:pt>
                      <c:pt idx="9">
                        <c:v>35.365518552961106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F537-934A-83B7-4279E64F27D4}"/>
                  </c:ext>
                </c:extLst>
              </c15:ser>
            </c15:filteredScatterSeries>
            <c15:filteredScatterSeries>
              <c15:ser>
                <c:idx val="3"/>
                <c:order val="1"/>
                <c:tx>
                  <c:v>Budapest "A"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"/>
                      <c:pt idx="0">
                        <c:v>2</c:v>
                      </c:pt>
                    </c:numLit>
                  </c:plus>
                  <c:minus>
                    <c:numLit>
                      <c:formatCode>General</c:formatCode>
                      <c:ptCount val="1"/>
                      <c:pt idx="0">
                        <c:v>2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[1]Munka1!$D$3:$D$9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2020.5</c:v>
                      </c:pt>
                      <c:pt idx="1">
                        <c:v>2019.5</c:v>
                      </c:pt>
                      <c:pt idx="2">
                        <c:v>2018.5</c:v>
                      </c:pt>
                      <c:pt idx="3">
                        <c:v>2017.5</c:v>
                      </c:pt>
                      <c:pt idx="4">
                        <c:v>2016.5</c:v>
                      </c:pt>
                      <c:pt idx="5">
                        <c:v>2015.5</c:v>
                      </c:pt>
                      <c:pt idx="6">
                        <c:v>2014.5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[1]Munka1!$G$3:$G$9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1">
                        <c:v>-12.163842082813293</c:v>
                      </c:pt>
                      <c:pt idx="2">
                        <c:v>-0.8080378504007335</c:v>
                      </c:pt>
                      <c:pt idx="3">
                        <c:v>-1.2524483973967993</c:v>
                      </c:pt>
                      <c:pt idx="4">
                        <c:v>5.3194394838800285</c:v>
                      </c:pt>
                      <c:pt idx="5">
                        <c:v>12.721982166285395</c:v>
                      </c:pt>
                      <c:pt idx="6">
                        <c:v>17.591998437075816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537-934A-83B7-4279E64F27D4}"/>
                  </c:ext>
                </c:extLst>
              </c15:ser>
            </c15:filteredScatterSeries>
            <c15:filteredScatterSeries>
              <c15:ser>
                <c:idx val="1"/>
                <c:order val="2"/>
                <c:tx>
                  <c:v>Great Forest 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Lit>
                      <c:formatCode>General</c:formatCode>
                      <c:ptCount val="1"/>
                      <c:pt idx="0">
                        <c:v>2</c:v>
                      </c:pt>
                    </c:numLit>
                  </c:plus>
                  <c:minus>
                    <c:numLit>
                      <c:formatCode>General</c:formatCode>
                      <c:ptCount val="1"/>
                      <c:pt idx="0">
                        <c:v>2</c:v>
                      </c:pt>
                    </c:numLit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[1]Munka1!$X$3:$X$9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2020.5</c:v>
                      </c:pt>
                      <c:pt idx="1">
                        <c:v>2019.5</c:v>
                      </c:pt>
                      <c:pt idx="2">
                        <c:v>2018.5</c:v>
                      </c:pt>
                      <c:pt idx="3">
                        <c:v>2017.5</c:v>
                      </c:pt>
                      <c:pt idx="4">
                        <c:v>2016.5</c:v>
                      </c:pt>
                      <c:pt idx="5">
                        <c:v>2015.5</c:v>
                      </c:pt>
                      <c:pt idx="6">
                        <c:v>2014.5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[1]Munka1!$AA$3:$AA$9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2.2976717086842235</c:v>
                      </c:pt>
                      <c:pt idx="1">
                        <c:v>2.3367778016323282</c:v>
                      </c:pt>
                      <c:pt idx="2">
                        <c:v>4.9274463965547355</c:v>
                      </c:pt>
                      <c:pt idx="3">
                        <c:v>9.069423559097789</c:v>
                      </c:pt>
                      <c:pt idx="4">
                        <c:v>11.370934011000422</c:v>
                      </c:pt>
                      <c:pt idx="5">
                        <c:v>13.984918254944745</c:v>
                      </c:pt>
                      <c:pt idx="6">
                        <c:v>21.235901421385648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537-934A-83B7-4279E64F27D4}"/>
                  </c:ext>
                </c:extLst>
              </c15:ser>
            </c15:filteredScatterSeries>
          </c:ext>
        </c:extLst>
      </c:scatterChart>
      <c:valAx>
        <c:axId val="24008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U"/>
          </a:p>
        </c:txPr>
        <c:crossAx val="24004239"/>
        <c:crosses val="autoZero"/>
        <c:crossBetween val="midCat"/>
      </c:valAx>
      <c:valAx>
        <c:axId val="2400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2400">
                    <a:latin typeface="Symbol" panose="05050102010706020507" pitchFamily="18" charset="2"/>
                  </a:rPr>
                  <a:t>D</a:t>
                </a:r>
                <a:r>
                  <a:rPr lang="hu-HU" sz="2400" baseline="30000"/>
                  <a:t>14</a:t>
                </a:r>
                <a:r>
                  <a:rPr lang="hu-HU" sz="2400"/>
                  <a:t>C</a:t>
                </a:r>
                <a:endParaRPr lang="en-GB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U"/>
          </a:p>
        </c:txPr>
        <c:crossAx val="240083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latin typeface="Symbol" panose="05050102010706020507" pitchFamily="18" charset="2"/>
              </a:rPr>
              <a:t>D</a:t>
            </a:r>
            <a:r>
              <a:rPr lang="hu-HU" baseline="30000"/>
              <a:t>14</a:t>
            </a:r>
            <a:r>
              <a:rPr lang="hu-HU"/>
              <a:t>C at different</a:t>
            </a:r>
            <a:r>
              <a:rPr lang="hu-HU" baseline="0"/>
              <a:t> sampling sites</a:t>
            </a:r>
          </a:p>
          <a:p>
            <a:pPr>
              <a:defRPr/>
            </a:pP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U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Hegyhátsál Background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2</c:v>
                </c:pt>
              </c:numLit>
            </c:plus>
            <c:minus>
              <c:numLit>
                <c:formatCode>General</c:formatCode>
                <c:ptCount val="1"/>
                <c:pt idx="0">
                  <c:v>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[1]Munka1!$AG$3:$AG$9</c:f>
              <c:numCache>
                <c:formatCode>General</c:formatCode>
                <c:ptCount val="7"/>
                <c:pt idx="0">
                  <c:v>2020.5</c:v>
                </c:pt>
                <c:pt idx="1">
                  <c:v>2019.5</c:v>
                </c:pt>
                <c:pt idx="2">
                  <c:v>2018.5</c:v>
                </c:pt>
                <c:pt idx="3">
                  <c:v>2017.5</c:v>
                </c:pt>
                <c:pt idx="4">
                  <c:v>2016.5</c:v>
                </c:pt>
                <c:pt idx="5">
                  <c:v>2015.5</c:v>
                </c:pt>
                <c:pt idx="6">
                  <c:v>2014.5</c:v>
                </c:pt>
              </c:numCache>
            </c:numRef>
          </c:xVal>
          <c:yVal>
            <c:numRef>
              <c:f>[1]Munka1!$AJ$3:$AJ$9</c:f>
              <c:numCache>
                <c:formatCode>General</c:formatCode>
                <c:ptCount val="7"/>
                <c:pt idx="0">
                  <c:v>-2.9316735436962782</c:v>
                </c:pt>
                <c:pt idx="1">
                  <c:v>-2.3098090097616319</c:v>
                </c:pt>
                <c:pt idx="2">
                  <c:v>5.8205528854071709</c:v>
                </c:pt>
                <c:pt idx="3">
                  <c:v>3.3379952836387616</c:v>
                </c:pt>
                <c:pt idx="4">
                  <c:v>5.3422419092914453</c:v>
                </c:pt>
                <c:pt idx="5">
                  <c:v>9.2946038101393569</c:v>
                </c:pt>
                <c:pt idx="6">
                  <c:v>15.362214949751651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5A-404C-8271-B411E089C5EE}"/>
            </c:ext>
          </c:extLst>
        </c:ser>
        <c:ser>
          <c:idx val="7"/>
          <c:order val="1"/>
          <c:tx>
            <c:v>Budaörsi út átlag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[1]Munka1!$H$42:$H$51</c:f>
                <c:numCache>
                  <c:formatCode>General</c:formatCode>
                  <c:ptCount val="10"/>
                  <c:pt idx="0">
                    <c:v>2.5</c:v>
                  </c:pt>
                  <c:pt idx="1">
                    <c:v>2.5</c:v>
                  </c:pt>
                  <c:pt idx="2">
                    <c:v>2.5</c:v>
                  </c:pt>
                  <c:pt idx="3">
                    <c:v>2.5</c:v>
                  </c:pt>
                  <c:pt idx="4">
                    <c:v>2.5</c:v>
                  </c:pt>
                  <c:pt idx="5">
                    <c:v>2.5</c:v>
                  </c:pt>
                  <c:pt idx="6">
                    <c:v>2.5</c:v>
                  </c:pt>
                  <c:pt idx="7">
                    <c:v>2.5</c:v>
                  </c:pt>
                  <c:pt idx="8">
                    <c:v>2.5</c:v>
                  </c:pt>
                  <c:pt idx="9">
                    <c:v>2.5</c:v>
                  </c:pt>
                </c:numCache>
              </c:numRef>
            </c:plus>
            <c:minus>
              <c:numRef>
                <c:f>[1]Munka1!$H$42:$H$51</c:f>
                <c:numCache>
                  <c:formatCode>General</c:formatCode>
                  <c:ptCount val="10"/>
                  <c:pt idx="0">
                    <c:v>2.5</c:v>
                  </c:pt>
                  <c:pt idx="1">
                    <c:v>2.5</c:v>
                  </c:pt>
                  <c:pt idx="2">
                    <c:v>2.5</c:v>
                  </c:pt>
                  <c:pt idx="3">
                    <c:v>2.5</c:v>
                  </c:pt>
                  <c:pt idx="4">
                    <c:v>2.5</c:v>
                  </c:pt>
                  <c:pt idx="5">
                    <c:v>2.5</c:v>
                  </c:pt>
                  <c:pt idx="6">
                    <c:v>2.5</c:v>
                  </c:pt>
                  <c:pt idx="7">
                    <c:v>2.5</c:v>
                  </c:pt>
                  <c:pt idx="8">
                    <c:v>2.5</c:v>
                  </c:pt>
                  <c:pt idx="9">
                    <c:v>2.5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[1]Munka1!$F$42:$F$51</c:f>
              <c:numCache>
                <c:formatCode>General</c:formatCode>
                <c:ptCount val="10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</c:numCache>
            </c:numRef>
          </c:xVal>
          <c:yVal>
            <c:numRef>
              <c:f>[1]Munka1!$G$42:$G$51</c:f>
              <c:numCache>
                <c:formatCode>General</c:formatCode>
                <c:ptCount val="10"/>
                <c:pt idx="0">
                  <c:v>-15.440146346537787</c:v>
                </c:pt>
                <c:pt idx="1">
                  <c:v>-15.002653163791402</c:v>
                </c:pt>
                <c:pt idx="2">
                  <c:v>-12.084315808301104</c:v>
                </c:pt>
                <c:pt idx="3">
                  <c:v>-8.4514136279043583</c:v>
                </c:pt>
                <c:pt idx="4">
                  <c:v>-1.4040775454846055</c:v>
                </c:pt>
                <c:pt idx="5">
                  <c:v>-1.2530922681599499</c:v>
                </c:pt>
                <c:pt idx="6">
                  <c:v>4.9417971476615197</c:v>
                </c:pt>
                <c:pt idx="7">
                  <c:v>12.916324200546004</c:v>
                </c:pt>
                <c:pt idx="8">
                  <c:v>21.33135336058778</c:v>
                </c:pt>
                <c:pt idx="9">
                  <c:v>13.318986675021961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5A-404C-8271-B411E089C5EE}"/>
            </c:ext>
          </c:extLst>
        </c:ser>
        <c:ser>
          <c:idx val="0"/>
          <c:order val="2"/>
          <c:tx>
            <c:v>Déli pu átlag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[1]Munka1!$J$43:$J$50</c:f>
                <c:numCache>
                  <c:formatCode>General</c:formatCode>
                  <c:ptCount val="8"/>
                  <c:pt idx="0">
                    <c:v>2.5</c:v>
                  </c:pt>
                  <c:pt idx="1">
                    <c:v>2.5</c:v>
                  </c:pt>
                  <c:pt idx="2">
                    <c:v>2.5</c:v>
                  </c:pt>
                  <c:pt idx="3">
                    <c:v>2.5</c:v>
                  </c:pt>
                  <c:pt idx="4">
                    <c:v>2.5</c:v>
                  </c:pt>
                  <c:pt idx="5">
                    <c:v>2.5</c:v>
                  </c:pt>
                  <c:pt idx="6">
                    <c:v>2.5</c:v>
                  </c:pt>
                  <c:pt idx="7">
                    <c:v>2.5</c:v>
                  </c:pt>
                </c:numCache>
              </c:numRef>
            </c:plus>
            <c:minus>
              <c:numRef>
                <c:f>[1]Munka1!$J$43:$J$50</c:f>
                <c:numCache>
                  <c:formatCode>General</c:formatCode>
                  <c:ptCount val="8"/>
                  <c:pt idx="0">
                    <c:v>2.5</c:v>
                  </c:pt>
                  <c:pt idx="1">
                    <c:v>2.5</c:v>
                  </c:pt>
                  <c:pt idx="2">
                    <c:v>2.5</c:v>
                  </c:pt>
                  <c:pt idx="3">
                    <c:v>2.5</c:v>
                  </c:pt>
                  <c:pt idx="4">
                    <c:v>2.5</c:v>
                  </c:pt>
                  <c:pt idx="5">
                    <c:v>2.5</c:v>
                  </c:pt>
                  <c:pt idx="6">
                    <c:v>2.5</c:v>
                  </c:pt>
                  <c:pt idx="7">
                    <c:v>2.5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[1]Munka1!$F$42:$F$51</c:f>
              <c:numCache>
                <c:formatCode>General</c:formatCode>
                <c:ptCount val="10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  <c:pt idx="5">
                  <c:v>2016</c:v>
                </c:pt>
                <c:pt idx="6">
                  <c:v>2015</c:v>
                </c:pt>
                <c:pt idx="7">
                  <c:v>2014</c:v>
                </c:pt>
                <c:pt idx="8">
                  <c:v>2013</c:v>
                </c:pt>
                <c:pt idx="9">
                  <c:v>2012</c:v>
                </c:pt>
              </c:numCache>
            </c:numRef>
          </c:xVal>
          <c:yVal>
            <c:numRef>
              <c:f>[1]Munka1!$I$42:$I$51</c:f>
              <c:numCache>
                <c:formatCode>General</c:formatCode>
                <c:ptCount val="10"/>
                <c:pt idx="1">
                  <c:v>-24.960569523143516</c:v>
                </c:pt>
                <c:pt idx="2">
                  <c:v>-13.516624257546351</c:v>
                </c:pt>
                <c:pt idx="3">
                  <c:v>-3.0483943506025013</c:v>
                </c:pt>
                <c:pt idx="4">
                  <c:v>-1.2524483973967993</c:v>
                </c:pt>
                <c:pt idx="5">
                  <c:v>4.9022747190612392</c:v>
                </c:pt>
                <c:pt idx="6">
                  <c:v>7.4992644718432366</c:v>
                </c:pt>
                <c:pt idx="7">
                  <c:v>15.057655380877776</c:v>
                </c:pt>
                <c:pt idx="8">
                  <c:v>28.180916312505744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5A-404C-8271-B411E089C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08399"/>
        <c:axId val="24004239"/>
        <c:extLst/>
      </c:scatterChart>
      <c:valAx>
        <c:axId val="24008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Year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U"/>
          </a:p>
        </c:txPr>
        <c:crossAx val="24004239"/>
        <c:crosses val="autoZero"/>
        <c:crossBetween val="midCat"/>
      </c:valAx>
      <c:valAx>
        <c:axId val="2400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2400">
                    <a:latin typeface="Symbol" panose="05050102010706020507" pitchFamily="18" charset="2"/>
                  </a:rPr>
                  <a:t>D</a:t>
                </a:r>
                <a:r>
                  <a:rPr lang="hu-HU" sz="2400" baseline="30000"/>
                  <a:t>14</a:t>
                </a:r>
                <a:r>
                  <a:rPr lang="hu-HU" sz="2400"/>
                  <a:t>C</a:t>
                </a:r>
                <a:endParaRPr lang="en-GB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HU"/>
          </a:p>
        </c:txPr>
        <c:crossAx val="240083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2800" b="1" i="0">
                <a:latin typeface="Symbol" pitchFamily="2" charset="2"/>
              </a:rPr>
              <a:t>D</a:t>
            </a:r>
            <a:r>
              <a:rPr lang="hu-HU" sz="2800" b="1" i="0" baseline="30000">
                <a:latin typeface="American Typewriter Semibold" panose="02090604020004020304" pitchFamily="18" charset="77"/>
              </a:rPr>
              <a:t>14</a:t>
            </a:r>
            <a:r>
              <a:rPr lang="hu-HU" sz="2800" b="1" i="0">
                <a:latin typeface="American Typewriter Semibold" panose="02090604020004020304" pitchFamily="18" charset="77"/>
              </a:rPr>
              <a:t>C a</a:t>
            </a:r>
            <a:r>
              <a:rPr lang="hu-HU" sz="2800" b="1" i="0" baseline="0">
                <a:latin typeface="American Typewriter Semibold" panose="02090604020004020304" pitchFamily="18" charset="77"/>
              </a:rPr>
              <a:t> háttérállomásokon</a:t>
            </a:r>
            <a:endParaRPr lang="en-GB" sz="2800" b="1" i="0">
              <a:latin typeface="American Typewriter Semibold" panose="02090604020004020304" pitchFamily="18" charset="77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U"/>
        </a:p>
      </c:txPr>
    </c:title>
    <c:autoTitleDeleted val="0"/>
    <c:plotArea>
      <c:layout>
        <c:manualLayout>
          <c:layoutTarget val="inner"/>
          <c:xMode val="edge"/>
          <c:yMode val="edge"/>
          <c:x val="6.2368276975399643E-2"/>
          <c:y val="0.15192034729725301"/>
          <c:w val="0.91042791674209134"/>
          <c:h val="0.70644702901522749"/>
        </c:manualLayout>
      </c:layout>
      <c:scatterChart>
        <c:scatterStyle val="lineMarker"/>
        <c:varyColors val="0"/>
        <c:ser>
          <c:idx val="3"/>
          <c:order val="0"/>
          <c:tx>
            <c:v>Hohenpheisenberg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50800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[1]Munka1!$BC$2:$BC$140</c:f>
                <c:numCache>
                  <c:formatCode>General</c:formatCode>
                  <c:ptCount val="139"/>
                  <c:pt idx="0">
                    <c:v>1.27</c:v>
                  </c:pt>
                  <c:pt idx="1">
                    <c:v>1.49</c:v>
                  </c:pt>
                  <c:pt idx="2">
                    <c:v>1.52</c:v>
                  </c:pt>
                  <c:pt idx="3">
                    <c:v>1.65</c:v>
                  </c:pt>
                  <c:pt idx="4">
                    <c:v>1.59</c:v>
                  </c:pt>
                  <c:pt idx="5">
                    <c:v>1.8</c:v>
                  </c:pt>
                  <c:pt idx="6">
                    <c:v>1.71</c:v>
                  </c:pt>
                  <c:pt idx="7">
                    <c:v>1.46</c:v>
                  </c:pt>
                  <c:pt idx="8">
                    <c:v>1.59</c:v>
                  </c:pt>
                  <c:pt idx="9">
                    <c:v>1.74</c:v>
                  </c:pt>
                  <c:pt idx="10">
                    <c:v>1.65</c:v>
                  </c:pt>
                  <c:pt idx="11">
                    <c:v>1.6</c:v>
                  </c:pt>
                  <c:pt idx="12">
                    <c:v>1.26</c:v>
                  </c:pt>
                  <c:pt idx="13">
                    <c:v>1.53</c:v>
                  </c:pt>
                  <c:pt idx="14">
                    <c:v>1.71</c:v>
                  </c:pt>
                  <c:pt idx="15">
                    <c:v>1.71</c:v>
                  </c:pt>
                  <c:pt idx="16">
                    <c:v>1.43</c:v>
                  </c:pt>
                  <c:pt idx="17">
                    <c:v>1.62</c:v>
                  </c:pt>
                  <c:pt idx="18">
                    <c:v>1.1000000000000001</c:v>
                  </c:pt>
                  <c:pt idx="19">
                    <c:v>1.28</c:v>
                  </c:pt>
                  <c:pt idx="20">
                    <c:v>1.86</c:v>
                  </c:pt>
                  <c:pt idx="21">
                    <c:v>1.63</c:v>
                  </c:pt>
                  <c:pt idx="22">
                    <c:v>1.6</c:v>
                  </c:pt>
                  <c:pt idx="23">
                    <c:v>1.45</c:v>
                  </c:pt>
                  <c:pt idx="24">
                    <c:v>1.82</c:v>
                  </c:pt>
                  <c:pt idx="25">
                    <c:v>1.7</c:v>
                  </c:pt>
                  <c:pt idx="26">
                    <c:v>1.32</c:v>
                  </c:pt>
                  <c:pt idx="27">
                    <c:v>1.33</c:v>
                  </c:pt>
                  <c:pt idx="28">
                    <c:v>1.32</c:v>
                  </c:pt>
                  <c:pt idx="29">
                    <c:v>1.6</c:v>
                  </c:pt>
                  <c:pt idx="30">
                    <c:v>1.52</c:v>
                  </c:pt>
                  <c:pt idx="31">
                    <c:v>2.4700000000000002</c:v>
                  </c:pt>
                  <c:pt idx="32">
                    <c:v>1.65</c:v>
                  </c:pt>
                  <c:pt idx="33">
                    <c:v>1.38</c:v>
                  </c:pt>
                  <c:pt idx="34">
                    <c:v>1.65</c:v>
                  </c:pt>
                  <c:pt idx="35">
                    <c:v>2.38</c:v>
                  </c:pt>
                  <c:pt idx="36">
                    <c:v>1.39</c:v>
                  </c:pt>
                  <c:pt idx="37">
                    <c:v>1.36</c:v>
                  </c:pt>
                  <c:pt idx="38">
                    <c:v>1.5</c:v>
                  </c:pt>
                  <c:pt idx="39">
                    <c:v>1.61</c:v>
                  </c:pt>
                  <c:pt idx="40">
                    <c:v>1.41</c:v>
                  </c:pt>
                  <c:pt idx="41">
                    <c:v>1.71</c:v>
                  </c:pt>
                  <c:pt idx="42">
                    <c:v>1.51</c:v>
                  </c:pt>
                  <c:pt idx="43">
                    <c:v>1.63</c:v>
                  </c:pt>
                  <c:pt idx="44">
                    <c:v>1.24</c:v>
                  </c:pt>
                  <c:pt idx="45">
                    <c:v>1.8</c:v>
                  </c:pt>
                  <c:pt idx="46">
                    <c:v>1.58</c:v>
                  </c:pt>
                  <c:pt idx="47">
                    <c:v>1.44</c:v>
                  </c:pt>
                  <c:pt idx="48">
                    <c:v>1.79</c:v>
                  </c:pt>
                  <c:pt idx="49">
                    <c:v>1.71</c:v>
                  </c:pt>
                  <c:pt idx="50">
                    <c:v>1.63</c:v>
                  </c:pt>
                  <c:pt idx="51">
                    <c:v>1.31</c:v>
                  </c:pt>
                  <c:pt idx="52">
                    <c:v>1.88</c:v>
                  </c:pt>
                  <c:pt idx="53">
                    <c:v>1.65</c:v>
                  </c:pt>
                  <c:pt idx="54">
                    <c:v>1.56</c:v>
                  </c:pt>
                  <c:pt idx="55">
                    <c:v>1.58</c:v>
                  </c:pt>
                  <c:pt idx="56">
                    <c:v>1.6</c:v>
                  </c:pt>
                  <c:pt idx="57">
                    <c:v>1.98</c:v>
                  </c:pt>
                  <c:pt idx="58">
                    <c:v>1.58</c:v>
                  </c:pt>
                  <c:pt idx="59">
                    <c:v>1.67</c:v>
                  </c:pt>
                  <c:pt idx="60">
                    <c:v>1.5</c:v>
                  </c:pt>
                  <c:pt idx="61">
                    <c:v>1.86</c:v>
                  </c:pt>
                  <c:pt idx="62">
                    <c:v>1.61</c:v>
                  </c:pt>
                  <c:pt idx="63">
                    <c:v>1.28</c:v>
                  </c:pt>
                  <c:pt idx="64">
                    <c:v>1.26</c:v>
                  </c:pt>
                  <c:pt idx="65">
                    <c:v>1.3</c:v>
                  </c:pt>
                  <c:pt idx="66">
                    <c:v>1.26</c:v>
                  </c:pt>
                  <c:pt idx="67">
                    <c:v>1.1100000000000001</c:v>
                  </c:pt>
                  <c:pt idx="68">
                    <c:v>1.39</c:v>
                  </c:pt>
                  <c:pt idx="69">
                    <c:v>1.43</c:v>
                  </c:pt>
                  <c:pt idx="70">
                    <c:v>2</c:v>
                  </c:pt>
                  <c:pt idx="71">
                    <c:v>1.62</c:v>
                  </c:pt>
                  <c:pt idx="72">
                    <c:v>1.75</c:v>
                  </c:pt>
                  <c:pt idx="73">
                    <c:v>1.28</c:v>
                  </c:pt>
                  <c:pt idx="74">
                    <c:v>1.21</c:v>
                  </c:pt>
                  <c:pt idx="75">
                    <c:v>1.6</c:v>
                  </c:pt>
                  <c:pt idx="76">
                    <c:v>1.6</c:v>
                  </c:pt>
                  <c:pt idx="77">
                    <c:v>1.99</c:v>
                  </c:pt>
                  <c:pt idx="78">
                    <c:v>2.41</c:v>
                  </c:pt>
                  <c:pt idx="79">
                    <c:v>1.43</c:v>
                  </c:pt>
                  <c:pt idx="80">
                    <c:v>1.48</c:v>
                  </c:pt>
                  <c:pt idx="81">
                    <c:v>1.54</c:v>
                  </c:pt>
                  <c:pt idx="82">
                    <c:v>1.61</c:v>
                  </c:pt>
                  <c:pt idx="83">
                    <c:v>1.58</c:v>
                  </c:pt>
                  <c:pt idx="84">
                    <c:v>1.75</c:v>
                  </c:pt>
                  <c:pt idx="85">
                    <c:v>2.04</c:v>
                  </c:pt>
                  <c:pt idx="86">
                    <c:v>1.28</c:v>
                  </c:pt>
                  <c:pt idx="87">
                    <c:v>1.41</c:v>
                  </c:pt>
                  <c:pt idx="88">
                    <c:v>1.6</c:v>
                  </c:pt>
                  <c:pt idx="89">
                    <c:v>1.9</c:v>
                  </c:pt>
                  <c:pt idx="90">
                    <c:v>1.95</c:v>
                  </c:pt>
                  <c:pt idx="91">
                    <c:v>1.3</c:v>
                  </c:pt>
                  <c:pt idx="92">
                    <c:v>1.84</c:v>
                  </c:pt>
                  <c:pt idx="93">
                    <c:v>1.85</c:v>
                  </c:pt>
                  <c:pt idx="94">
                    <c:v>1.64</c:v>
                  </c:pt>
                  <c:pt idx="95">
                    <c:v>1.26</c:v>
                  </c:pt>
                  <c:pt idx="96">
                    <c:v>1.51</c:v>
                  </c:pt>
                  <c:pt idx="97">
                    <c:v>1.52</c:v>
                  </c:pt>
                  <c:pt idx="98">
                    <c:v>1.65</c:v>
                  </c:pt>
                  <c:pt idx="99">
                    <c:v>1.53</c:v>
                  </c:pt>
                  <c:pt idx="100">
                    <c:v>1.1399999999999999</c:v>
                  </c:pt>
                  <c:pt idx="101">
                    <c:v>1.49</c:v>
                  </c:pt>
                  <c:pt idx="102">
                    <c:v>1.64</c:v>
                  </c:pt>
                  <c:pt idx="103">
                    <c:v>1.56</c:v>
                  </c:pt>
                  <c:pt idx="104">
                    <c:v>1.59</c:v>
                  </c:pt>
                  <c:pt idx="105">
                    <c:v>1.66</c:v>
                  </c:pt>
                  <c:pt idx="106">
                    <c:v>1.79</c:v>
                  </c:pt>
                  <c:pt idx="107">
                    <c:v>1.86</c:v>
                  </c:pt>
                  <c:pt idx="108">
                    <c:v>1.43</c:v>
                  </c:pt>
                  <c:pt idx="109">
                    <c:v>1.83</c:v>
                  </c:pt>
                  <c:pt idx="110">
                    <c:v>1.53</c:v>
                  </c:pt>
                  <c:pt idx="111">
                    <c:v>1.47</c:v>
                  </c:pt>
                  <c:pt idx="112">
                    <c:v>1.64</c:v>
                  </c:pt>
                  <c:pt idx="113">
                    <c:v>1.5</c:v>
                  </c:pt>
                  <c:pt idx="114">
                    <c:v>1.47</c:v>
                  </c:pt>
                  <c:pt idx="115">
                    <c:v>1.65</c:v>
                  </c:pt>
                  <c:pt idx="116">
                    <c:v>1.36</c:v>
                  </c:pt>
                  <c:pt idx="117">
                    <c:v>1.51</c:v>
                  </c:pt>
                  <c:pt idx="118">
                    <c:v>1.1299999999999999</c:v>
                  </c:pt>
                  <c:pt idx="119">
                    <c:v>1.65</c:v>
                  </c:pt>
                  <c:pt idx="120">
                    <c:v>1.68</c:v>
                  </c:pt>
                  <c:pt idx="121">
                    <c:v>1.0900000000000001</c:v>
                  </c:pt>
                  <c:pt idx="122">
                    <c:v>1.21</c:v>
                  </c:pt>
                  <c:pt idx="123">
                    <c:v>1.04</c:v>
                  </c:pt>
                  <c:pt idx="124">
                    <c:v>1.1499999999999999</c:v>
                  </c:pt>
                  <c:pt idx="125">
                    <c:v>1.1000000000000001</c:v>
                  </c:pt>
                  <c:pt idx="126">
                    <c:v>1.47</c:v>
                  </c:pt>
                  <c:pt idx="127">
                    <c:v>1.49</c:v>
                  </c:pt>
                  <c:pt idx="128">
                    <c:v>1.1200000000000001</c:v>
                  </c:pt>
                  <c:pt idx="129">
                    <c:v>1.03</c:v>
                  </c:pt>
                  <c:pt idx="130">
                    <c:v>1.24</c:v>
                  </c:pt>
                  <c:pt idx="131">
                    <c:v>1.69</c:v>
                  </c:pt>
                  <c:pt idx="132">
                    <c:v>1.52</c:v>
                  </c:pt>
                  <c:pt idx="133">
                    <c:v>1.27</c:v>
                  </c:pt>
                  <c:pt idx="134">
                    <c:v>1.24</c:v>
                  </c:pt>
                  <c:pt idx="135">
                    <c:v>1.73</c:v>
                  </c:pt>
                  <c:pt idx="136">
                    <c:v>1.54</c:v>
                  </c:pt>
                  <c:pt idx="137">
                    <c:v>1.71</c:v>
                  </c:pt>
                  <c:pt idx="138">
                    <c:v>1.49</c:v>
                  </c:pt>
                </c:numCache>
              </c:numRef>
            </c:plus>
            <c:minus>
              <c:numRef>
                <c:f>[1]Munka1!$BC$2:$BC$140</c:f>
                <c:numCache>
                  <c:formatCode>General</c:formatCode>
                  <c:ptCount val="139"/>
                  <c:pt idx="0">
                    <c:v>1.27</c:v>
                  </c:pt>
                  <c:pt idx="1">
                    <c:v>1.49</c:v>
                  </c:pt>
                  <c:pt idx="2">
                    <c:v>1.52</c:v>
                  </c:pt>
                  <c:pt idx="3">
                    <c:v>1.65</c:v>
                  </c:pt>
                  <c:pt idx="4">
                    <c:v>1.59</c:v>
                  </c:pt>
                  <c:pt idx="5">
                    <c:v>1.8</c:v>
                  </c:pt>
                  <c:pt idx="6">
                    <c:v>1.71</c:v>
                  </c:pt>
                  <c:pt idx="7">
                    <c:v>1.46</c:v>
                  </c:pt>
                  <c:pt idx="8">
                    <c:v>1.59</c:v>
                  </c:pt>
                  <c:pt idx="9">
                    <c:v>1.74</c:v>
                  </c:pt>
                  <c:pt idx="10">
                    <c:v>1.65</c:v>
                  </c:pt>
                  <c:pt idx="11">
                    <c:v>1.6</c:v>
                  </c:pt>
                  <c:pt idx="12">
                    <c:v>1.26</c:v>
                  </c:pt>
                  <c:pt idx="13">
                    <c:v>1.53</c:v>
                  </c:pt>
                  <c:pt idx="14">
                    <c:v>1.71</c:v>
                  </c:pt>
                  <c:pt idx="15">
                    <c:v>1.71</c:v>
                  </c:pt>
                  <c:pt idx="16">
                    <c:v>1.43</c:v>
                  </c:pt>
                  <c:pt idx="17">
                    <c:v>1.62</c:v>
                  </c:pt>
                  <c:pt idx="18">
                    <c:v>1.1000000000000001</c:v>
                  </c:pt>
                  <c:pt idx="19">
                    <c:v>1.28</c:v>
                  </c:pt>
                  <c:pt idx="20">
                    <c:v>1.86</c:v>
                  </c:pt>
                  <c:pt idx="21">
                    <c:v>1.63</c:v>
                  </c:pt>
                  <c:pt idx="22">
                    <c:v>1.6</c:v>
                  </c:pt>
                  <c:pt idx="23">
                    <c:v>1.45</c:v>
                  </c:pt>
                  <c:pt idx="24">
                    <c:v>1.82</c:v>
                  </c:pt>
                  <c:pt idx="25">
                    <c:v>1.7</c:v>
                  </c:pt>
                  <c:pt idx="26">
                    <c:v>1.32</c:v>
                  </c:pt>
                  <c:pt idx="27">
                    <c:v>1.33</c:v>
                  </c:pt>
                  <c:pt idx="28">
                    <c:v>1.32</c:v>
                  </c:pt>
                  <c:pt idx="29">
                    <c:v>1.6</c:v>
                  </c:pt>
                  <c:pt idx="30">
                    <c:v>1.52</c:v>
                  </c:pt>
                  <c:pt idx="31">
                    <c:v>2.4700000000000002</c:v>
                  </c:pt>
                  <c:pt idx="32">
                    <c:v>1.65</c:v>
                  </c:pt>
                  <c:pt idx="33">
                    <c:v>1.38</c:v>
                  </c:pt>
                  <c:pt idx="34">
                    <c:v>1.65</c:v>
                  </c:pt>
                  <c:pt idx="35">
                    <c:v>2.38</c:v>
                  </c:pt>
                  <c:pt idx="36">
                    <c:v>1.39</c:v>
                  </c:pt>
                  <c:pt idx="37">
                    <c:v>1.36</c:v>
                  </c:pt>
                  <c:pt idx="38">
                    <c:v>1.5</c:v>
                  </c:pt>
                  <c:pt idx="39">
                    <c:v>1.61</c:v>
                  </c:pt>
                  <c:pt idx="40">
                    <c:v>1.41</c:v>
                  </c:pt>
                  <c:pt idx="41">
                    <c:v>1.71</c:v>
                  </c:pt>
                  <c:pt idx="42">
                    <c:v>1.51</c:v>
                  </c:pt>
                  <c:pt idx="43">
                    <c:v>1.63</c:v>
                  </c:pt>
                  <c:pt idx="44">
                    <c:v>1.24</c:v>
                  </c:pt>
                  <c:pt idx="45">
                    <c:v>1.8</c:v>
                  </c:pt>
                  <c:pt idx="46">
                    <c:v>1.58</c:v>
                  </c:pt>
                  <c:pt idx="47">
                    <c:v>1.44</c:v>
                  </c:pt>
                  <c:pt idx="48">
                    <c:v>1.79</c:v>
                  </c:pt>
                  <c:pt idx="49">
                    <c:v>1.71</c:v>
                  </c:pt>
                  <c:pt idx="50">
                    <c:v>1.63</c:v>
                  </c:pt>
                  <c:pt idx="51">
                    <c:v>1.31</c:v>
                  </c:pt>
                  <c:pt idx="52">
                    <c:v>1.88</c:v>
                  </c:pt>
                  <c:pt idx="53">
                    <c:v>1.65</c:v>
                  </c:pt>
                  <c:pt idx="54">
                    <c:v>1.56</c:v>
                  </c:pt>
                  <c:pt idx="55">
                    <c:v>1.58</c:v>
                  </c:pt>
                  <c:pt idx="56">
                    <c:v>1.6</c:v>
                  </c:pt>
                  <c:pt idx="57">
                    <c:v>1.98</c:v>
                  </c:pt>
                  <c:pt idx="58">
                    <c:v>1.58</c:v>
                  </c:pt>
                  <c:pt idx="59">
                    <c:v>1.67</c:v>
                  </c:pt>
                  <c:pt idx="60">
                    <c:v>1.5</c:v>
                  </c:pt>
                  <c:pt idx="61">
                    <c:v>1.86</c:v>
                  </c:pt>
                  <c:pt idx="62">
                    <c:v>1.61</c:v>
                  </c:pt>
                  <c:pt idx="63">
                    <c:v>1.28</c:v>
                  </c:pt>
                  <c:pt idx="64">
                    <c:v>1.26</c:v>
                  </c:pt>
                  <c:pt idx="65">
                    <c:v>1.3</c:v>
                  </c:pt>
                  <c:pt idx="66">
                    <c:v>1.26</c:v>
                  </c:pt>
                  <c:pt idx="67">
                    <c:v>1.1100000000000001</c:v>
                  </c:pt>
                  <c:pt idx="68">
                    <c:v>1.39</c:v>
                  </c:pt>
                  <c:pt idx="69">
                    <c:v>1.43</c:v>
                  </c:pt>
                  <c:pt idx="70">
                    <c:v>2</c:v>
                  </c:pt>
                  <c:pt idx="71">
                    <c:v>1.62</c:v>
                  </c:pt>
                  <c:pt idx="72">
                    <c:v>1.75</c:v>
                  </c:pt>
                  <c:pt idx="73">
                    <c:v>1.28</c:v>
                  </c:pt>
                  <c:pt idx="74">
                    <c:v>1.21</c:v>
                  </c:pt>
                  <c:pt idx="75">
                    <c:v>1.6</c:v>
                  </c:pt>
                  <c:pt idx="76">
                    <c:v>1.6</c:v>
                  </c:pt>
                  <c:pt idx="77">
                    <c:v>1.99</c:v>
                  </c:pt>
                  <c:pt idx="78">
                    <c:v>2.41</c:v>
                  </c:pt>
                  <c:pt idx="79">
                    <c:v>1.43</c:v>
                  </c:pt>
                  <c:pt idx="80">
                    <c:v>1.48</c:v>
                  </c:pt>
                  <c:pt idx="81">
                    <c:v>1.54</c:v>
                  </c:pt>
                  <c:pt idx="82">
                    <c:v>1.61</c:v>
                  </c:pt>
                  <c:pt idx="83">
                    <c:v>1.58</c:v>
                  </c:pt>
                  <c:pt idx="84">
                    <c:v>1.75</c:v>
                  </c:pt>
                  <c:pt idx="85">
                    <c:v>2.04</c:v>
                  </c:pt>
                  <c:pt idx="86">
                    <c:v>1.28</c:v>
                  </c:pt>
                  <c:pt idx="87">
                    <c:v>1.41</c:v>
                  </c:pt>
                  <c:pt idx="88">
                    <c:v>1.6</c:v>
                  </c:pt>
                  <c:pt idx="89">
                    <c:v>1.9</c:v>
                  </c:pt>
                  <c:pt idx="90">
                    <c:v>1.95</c:v>
                  </c:pt>
                  <c:pt idx="91">
                    <c:v>1.3</c:v>
                  </c:pt>
                  <c:pt idx="92">
                    <c:v>1.84</c:v>
                  </c:pt>
                  <c:pt idx="93">
                    <c:v>1.85</c:v>
                  </c:pt>
                  <c:pt idx="94">
                    <c:v>1.64</c:v>
                  </c:pt>
                  <c:pt idx="95">
                    <c:v>1.26</c:v>
                  </c:pt>
                  <c:pt idx="96">
                    <c:v>1.51</c:v>
                  </c:pt>
                  <c:pt idx="97">
                    <c:v>1.52</c:v>
                  </c:pt>
                  <c:pt idx="98">
                    <c:v>1.65</c:v>
                  </c:pt>
                  <c:pt idx="99">
                    <c:v>1.53</c:v>
                  </c:pt>
                  <c:pt idx="100">
                    <c:v>1.1399999999999999</c:v>
                  </c:pt>
                  <c:pt idx="101">
                    <c:v>1.49</c:v>
                  </c:pt>
                  <c:pt idx="102">
                    <c:v>1.64</c:v>
                  </c:pt>
                  <c:pt idx="103">
                    <c:v>1.56</c:v>
                  </c:pt>
                  <c:pt idx="104">
                    <c:v>1.59</c:v>
                  </c:pt>
                  <c:pt idx="105">
                    <c:v>1.66</c:v>
                  </c:pt>
                  <c:pt idx="106">
                    <c:v>1.79</c:v>
                  </c:pt>
                  <c:pt idx="107">
                    <c:v>1.86</c:v>
                  </c:pt>
                  <c:pt idx="108">
                    <c:v>1.43</c:v>
                  </c:pt>
                  <c:pt idx="109">
                    <c:v>1.83</c:v>
                  </c:pt>
                  <c:pt idx="110">
                    <c:v>1.53</c:v>
                  </c:pt>
                  <c:pt idx="111">
                    <c:v>1.47</c:v>
                  </c:pt>
                  <c:pt idx="112">
                    <c:v>1.64</c:v>
                  </c:pt>
                  <c:pt idx="113">
                    <c:v>1.5</c:v>
                  </c:pt>
                  <c:pt idx="114">
                    <c:v>1.47</c:v>
                  </c:pt>
                  <c:pt idx="115">
                    <c:v>1.65</c:v>
                  </c:pt>
                  <c:pt idx="116">
                    <c:v>1.36</c:v>
                  </c:pt>
                  <c:pt idx="117">
                    <c:v>1.51</c:v>
                  </c:pt>
                  <c:pt idx="118">
                    <c:v>1.1299999999999999</c:v>
                  </c:pt>
                  <c:pt idx="119">
                    <c:v>1.65</c:v>
                  </c:pt>
                  <c:pt idx="120">
                    <c:v>1.68</c:v>
                  </c:pt>
                  <c:pt idx="121">
                    <c:v>1.0900000000000001</c:v>
                  </c:pt>
                  <c:pt idx="122">
                    <c:v>1.21</c:v>
                  </c:pt>
                  <c:pt idx="123">
                    <c:v>1.04</c:v>
                  </c:pt>
                  <c:pt idx="124">
                    <c:v>1.1499999999999999</c:v>
                  </c:pt>
                  <c:pt idx="125">
                    <c:v>1.1000000000000001</c:v>
                  </c:pt>
                  <c:pt idx="126">
                    <c:v>1.47</c:v>
                  </c:pt>
                  <c:pt idx="127">
                    <c:v>1.49</c:v>
                  </c:pt>
                  <c:pt idx="128">
                    <c:v>1.1200000000000001</c:v>
                  </c:pt>
                  <c:pt idx="129">
                    <c:v>1.03</c:v>
                  </c:pt>
                  <c:pt idx="130">
                    <c:v>1.24</c:v>
                  </c:pt>
                  <c:pt idx="131">
                    <c:v>1.69</c:v>
                  </c:pt>
                  <c:pt idx="132">
                    <c:v>1.52</c:v>
                  </c:pt>
                  <c:pt idx="133">
                    <c:v>1.27</c:v>
                  </c:pt>
                  <c:pt idx="134">
                    <c:v>1.24</c:v>
                  </c:pt>
                  <c:pt idx="135">
                    <c:v>1.73</c:v>
                  </c:pt>
                  <c:pt idx="136">
                    <c:v>1.54</c:v>
                  </c:pt>
                  <c:pt idx="137">
                    <c:v>1.71</c:v>
                  </c:pt>
                  <c:pt idx="138">
                    <c:v>1.49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[1]Munka1!$BA$2:$BA$140</c:f>
              <c:numCache>
                <c:formatCode>General</c:formatCode>
                <c:ptCount val="139"/>
                <c:pt idx="0">
                  <c:v>2015.7287671199999</c:v>
                </c:pt>
                <c:pt idx="1">
                  <c:v>2015.76712329</c:v>
                </c:pt>
                <c:pt idx="2">
                  <c:v>2015.8054794499999</c:v>
                </c:pt>
                <c:pt idx="3">
                  <c:v>2015.8438356199999</c:v>
                </c:pt>
                <c:pt idx="4">
                  <c:v>2015.8849315099999</c:v>
                </c:pt>
                <c:pt idx="5">
                  <c:v>2015.9178082200001</c:v>
                </c:pt>
                <c:pt idx="6">
                  <c:v>2015.95616438</c:v>
                </c:pt>
                <c:pt idx="7">
                  <c:v>2015.9945205500001</c:v>
                </c:pt>
                <c:pt idx="8">
                  <c:v>2016.0327868899999</c:v>
                </c:pt>
                <c:pt idx="9">
                  <c:v>2016.0710382499999</c:v>
                </c:pt>
                <c:pt idx="10">
                  <c:v>2016.10928962</c:v>
                </c:pt>
                <c:pt idx="11">
                  <c:v>2016.14754098</c:v>
                </c:pt>
                <c:pt idx="12">
                  <c:v>2016.1857923499999</c:v>
                </c:pt>
                <c:pt idx="13">
                  <c:v>2016.2240437200001</c:v>
                </c:pt>
                <c:pt idx="14">
                  <c:v>2016.2622950800001</c:v>
                </c:pt>
                <c:pt idx="15">
                  <c:v>2016.3032786900001</c:v>
                </c:pt>
                <c:pt idx="16">
                  <c:v>2016.33879781</c:v>
                </c:pt>
                <c:pt idx="17">
                  <c:v>2016.3770491800001</c:v>
                </c:pt>
                <c:pt idx="18">
                  <c:v>2016.41530055</c:v>
                </c:pt>
                <c:pt idx="19">
                  <c:v>2016.4562841500001</c:v>
                </c:pt>
                <c:pt idx="20">
                  <c:v>2016.4918032800001</c:v>
                </c:pt>
                <c:pt idx="21">
                  <c:v>2016.5300546399999</c:v>
                </c:pt>
                <c:pt idx="22">
                  <c:v>2016.56830601</c:v>
                </c:pt>
                <c:pt idx="23">
                  <c:v>2016.6065573799999</c:v>
                </c:pt>
                <c:pt idx="24">
                  <c:v>2016.6557376999999</c:v>
                </c:pt>
                <c:pt idx="25">
                  <c:v>2016.68306011</c:v>
                </c:pt>
                <c:pt idx="26">
                  <c:v>2016.7213114799999</c:v>
                </c:pt>
                <c:pt idx="27">
                  <c:v>2016.7595628399999</c:v>
                </c:pt>
                <c:pt idx="28">
                  <c:v>2016.7978142100001</c:v>
                </c:pt>
                <c:pt idx="29">
                  <c:v>2016.8360655700001</c:v>
                </c:pt>
                <c:pt idx="30">
                  <c:v>2016.87431694</c:v>
                </c:pt>
                <c:pt idx="31">
                  <c:v>2016.9125683100001</c:v>
                </c:pt>
                <c:pt idx="32">
                  <c:v>2016.9508196700001</c:v>
                </c:pt>
                <c:pt idx="33">
                  <c:v>2016.98907104</c:v>
                </c:pt>
                <c:pt idx="34">
                  <c:v>2017.02739726</c:v>
                </c:pt>
                <c:pt idx="35">
                  <c:v>2017.06575342</c:v>
                </c:pt>
                <c:pt idx="36">
                  <c:v>2017.10410959</c:v>
                </c:pt>
                <c:pt idx="37">
                  <c:v>2017.1424657499999</c:v>
                </c:pt>
                <c:pt idx="38">
                  <c:v>2017.18082192</c:v>
                </c:pt>
                <c:pt idx="39">
                  <c:v>2017.2191780799999</c:v>
                </c:pt>
                <c:pt idx="40">
                  <c:v>2017.2575342499999</c:v>
                </c:pt>
                <c:pt idx="41">
                  <c:v>2017.2958904100001</c:v>
                </c:pt>
                <c:pt idx="42">
                  <c:v>2017.3315068500001</c:v>
                </c:pt>
                <c:pt idx="43">
                  <c:v>2017.37260274</c:v>
                </c:pt>
                <c:pt idx="44">
                  <c:v>2017.4109589</c:v>
                </c:pt>
                <c:pt idx="45">
                  <c:v>2017.4630136999999</c:v>
                </c:pt>
                <c:pt idx="46">
                  <c:v>2017.49041096</c:v>
                </c:pt>
                <c:pt idx="47">
                  <c:v>2017.5260274</c:v>
                </c:pt>
                <c:pt idx="48">
                  <c:v>2017.5643835599999</c:v>
                </c:pt>
                <c:pt idx="49">
                  <c:v>2017.6027397299999</c:v>
                </c:pt>
                <c:pt idx="50">
                  <c:v>2017.6410958900001</c:v>
                </c:pt>
                <c:pt idx="51">
                  <c:v>2017.67945205</c:v>
                </c:pt>
                <c:pt idx="52">
                  <c:v>2017.7178082200001</c:v>
                </c:pt>
                <c:pt idx="53">
                  <c:v>2017.75616438</c:v>
                </c:pt>
                <c:pt idx="54">
                  <c:v>2017.7972602699999</c:v>
                </c:pt>
                <c:pt idx="55">
                  <c:v>2017.8328767099999</c:v>
                </c:pt>
                <c:pt idx="56">
                  <c:v>2017.87123288</c:v>
                </c:pt>
                <c:pt idx="57">
                  <c:v>2017.9095890399999</c:v>
                </c:pt>
                <c:pt idx="58">
                  <c:v>2017.9479452099999</c:v>
                </c:pt>
                <c:pt idx="59">
                  <c:v>2017.9863013700001</c:v>
                </c:pt>
                <c:pt idx="60">
                  <c:v>2018.02465753</c:v>
                </c:pt>
                <c:pt idx="61">
                  <c:v>2018.0630137000001</c:v>
                </c:pt>
                <c:pt idx="62">
                  <c:v>2018.10136986</c:v>
                </c:pt>
                <c:pt idx="63">
                  <c:v>2018.13972603</c:v>
                </c:pt>
                <c:pt idx="64">
                  <c:v>2018.1780821899999</c:v>
                </c:pt>
                <c:pt idx="65">
                  <c:v>2018.21643836</c:v>
                </c:pt>
                <c:pt idx="66">
                  <c:v>2018.2547945199999</c:v>
                </c:pt>
                <c:pt idx="67">
                  <c:v>2018.2931506800001</c:v>
                </c:pt>
                <c:pt idx="68">
                  <c:v>2018.3315068500001</c:v>
                </c:pt>
                <c:pt idx="69">
                  <c:v>2018.36986301</c:v>
                </c:pt>
                <c:pt idx="70">
                  <c:v>2018.4082191800001</c:v>
                </c:pt>
                <c:pt idx="71">
                  <c:v>2018.44657534</c:v>
                </c:pt>
                <c:pt idx="72">
                  <c:v>2018.48493151</c:v>
                </c:pt>
                <c:pt idx="73">
                  <c:v>2018.5232876699999</c:v>
                </c:pt>
                <c:pt idx="74">
                  <c:v>2018.56164384</c:v>
                </c:pt>
                <c:pt idx="75">
                  <c:v>2018.6</c:v>
                </c:pt>
                <c:pt idx="76">
                  <c:v>2018.6383561600001</c:v>
                </c:pt>
                <c:pt idx="77">
                  <c:v>2018.6767123300001</c:v>
                </c:pt>
                <c:pt idx="78">
                  <c:v>2018.71506849</c:v>
                </c:pt>
                <c:pt idx="79">
                  <c:v>2018.75616438</c:v>
                </c:pt>
                <c:pt idx="80">
                  <c:v>2018.7928158300001</c:v>
                </c:pt>
                <c:pt idx="81">
                  <c:v>2018.83137747</c:v>
                </c:pt>
                <c:pt idx="82">
                  <c:v>2018.8699676599999</c:v>
                </c:pt>
                <c:pt idx="83">
                  <c:v>2018.90804224</c:v>
                </c:pt>
                <c:pt idx="84">
                  <c:v>2018.94641172</c:v>
                </c:pt>
                <c:pt idx="85">
                  <c:v>2018.9875114199999</c:v>
                </c:pt>
                <c:pt idx="86">
                  <c:v>2019.02312024</c:v>
                </c:pt>
                <c:pt idx="87">
                  <c:v>2019.0617770199999</c:v>
                </c:pt>
                <c:pt idx="88">
                  <c:v>2019.09984399</c:v>
                </c:pt>
                <c:pt idx="89">
                  <c:v>2019.1379433</c:v>
                </c:pt>
                <c:pt idx="90">
                  <c:v>2019.1765639299999</c:v>
                </c:pt>
                <c:pt idx="91">
                  <c:v>2019.21519216</c:v>
                </c:pt>
                <c:pt idx="92">
                  <c:v>2019.25311263</c:v>
                </c:pt>
                <c:pt idx="93">
                  <c:v>2019.2914802099999</c:v>
                </c:pt>
                <c:pt idx="94">
                  <c:v>2019.3274429200001</c:v>
                </c:pt>
                <c:pt idx="95">
                  <c:v>2019.3682343999999</c:v>
                </c:pt>
                <c:pt idx="96">
                  <c:v>2019.40659056</c:v>
                </c:pt>
                <c:pt idx="97">
                  <c:v>2019.4452302100001</c:v>
                </c:pt>
                <c:pt idx="98">
                  <c:v>2019.4832743500001</c:v>
                </c:pt>
                <c:pt idx="99">
                  <c:v>2019.5216229099999</c:v>
                </c:pt>
                <c:pt idx="100">
                  <c:v>2019.5600095100001</c:v>
                </c:pt>
                <c:pt idx="101">
                  <c:v>2019.5982705500001</c:v>
                </c:pt>
                <c:pt idx="102">
                  <c:v>2019.63652968</c:v>
                </c:pt>
                <c:pt idx="103">
                  <c:v>2019.67505327</c:v>
                </c:pt>
                <c:pt idx="104">
                  <c:v>2019.71506849</c:v>
                </c:pt>
                <c:pt idx="105">
                  <c:v>2019.7520338700001</c:v>
                </c:pt>
                <c:pt idx="106">
                  <c:v>2019.79010464</c:v>
                </c:pt>
                <c:pt idx="107">
                  <c:v>2019.8285692500001</c:v>
                </c:pt>
                <c:pt idx="108">
                  <c:v>2019.86732306</c:v>
                </c:pt>
                <c:pt idx="109">
                  <c:v>2019.9057344</c:v>
                </c:pt>
                <c:pt idx="110">
                  <c:v>2019.9466971100001</c:v>
                </c:pt>
                <c:pt idx="111">
                  <c:v>2019.9873002300001</c:v>
                </c:pt>
                <c:pt idx="112">
                  <c:v>2020.05882286</c:v>
                </c:pt>
                <c:pt idx="113">
                  <c:v>2020.0968161799999</c:v>
                </c:pt>
                <c:pt idx="114">
                  <c:v>2020.1349499099999</c:v>
                </c:pt>
                <c:pt idx="115">
                  <c:v>2020.1731121</c:v>
                </c:pt>
                <c:pt idx="116">
                  <c:v>2020.2497419599999</c:v>
                </c:pt>
                <c:pt idx="117">
                  <c:v>2020.3261611999999</c:v>
                </c:pt>
                <c:pt idx="118">
                  <c:v>2020.4029011099999</c:v>
                </c:pt>
                <c:pt idx="119">
                  <c:v>2020.47919892</c:v>
                </c:pt>
                <c:pt idx="120">
                  <c:v>2020.5174996200001</c:v>
                </c:pt>
                <c:pt idx="121">
                  <c:v>2020.5555422699999</c:v>
                </c:pt>
                <c:pt idx="122">
                  <c:v>2020.6320089599999</c:v>
                </c:pt>
                <c:pt idx="123">
                  <c:v>2020.7087507599999</c:v>
                </c:pt>
                <c:pt idx="124">
                  <c:v>2020.74673459</c:v>
                </c:pt>
                <c:pt idx="125">
                  <c:v>2020.82358075</c:v>
                </c:pt>
                <c:pt idx="126">
                  <c:v>2020.8619364799999</c:v>
                </c:pt>
                <c:pt idx="127">
                  <c:v>2020.9000815899999</c:v>
                </c:pt>
                <c:pt idx="128">
                  <c:v>2020.97657673</c:v>
                </c:pt>
                <c:pt idx="129">
                  <c:v>2021.0530156</c:v>
                </c:pt>
                <c:pt idx="130">
                  <c:v>2021.09186073</c:v>
                </c:pt>
                <c:pt idx="131">
                  <c:v>2021.1299524399999</c:v>
                </c:pt>
                <c:pt idx="132">
                  <c:v>2021.20941591</c:v>
                </c:pt>
                <c:pt idx="133">
                  <c:v>2021.3219368299999</c:v>
                </c:pt>
                <c:pt idx="134">
                  <c:v>2021.35971081</c:v>
                </c:pt>
                <c:pt idx="135">
                  <c:v>2021.4366952099999</c:v>
                </c:pt>
                <c:pt idx="136">
                  <c:v>2021.5133238200001</c:v>
                </c:pt>
                <c:pt idx="137">
                  <c:v>2021.5515886600001</c:v>
                </c:pt>
                <c:pt idx="138">
                  <c:v>2021.58987443</c:v>
                </c:pt>
              </c:numCache>
            </c:numRef>
          </c:xVal>
          <c:yVal>
            <c:numRef>
              <c:f>[1]Munka1!$BB$2:$BB$140</c:f>
              <c:numCache>
                <c:formatCode>General</c:formatCode>
                <c:ptCount val="139"/>
                <c:pt idx="0">
                  <c:v>13.77</c:v>
                </c:pt>
                <c:pt idx="1">
                  <c:v>3.75</c:v>
                </c:pt>
                <c:pt idx="2">
                  <c:v>12.26</c:v>
                </c:pt>
                <c:pt idx="3">
                  <c:v>14.24</c:v>
                </c:pt>
                <c:pt idx="4">
                  <c:v>11.34</c:v>
                </c:pt>
                <c:pt idx="5">
                  <c:v>11.18</c:v>
                </c:pt>
                <c:pt idx="6">
                  <c:v>13.9</c:v>
                </c:pt>
                <c:pt idx="7">
                  <c:v>12.87</c:v>
                </c:pt>
                <c:pt idx="8">
                  <c:v>13.5</c:v>
                </c:pt>
                <c:pt idx="9">
                  <c:v>13.09</c:v>
                </c:pt>
                <c:pt idx="10">
                  <c:v>4.5599999999999996</c:v>
                </c:pt>
                <c:pt idx="11">
                  <c:v>6.02</c:v>
                </c:pt>
                <c:pt idx="12">
                  <c:v>2.87</c:v>
                </c:pt>
                <c:pt idx="13">
                  <c:v>9.92</c:v>
                </c:pt>
                <c:pt idx="14">
                  <c:v>7.43</c:v>
                </c:pt>
                <c:pt idx="15">
                  <c:v>8.67</c:v>
                </c:pt>
                <c:pt idx="16">
                  <c:v>12.35</c:v>
                </c:pt>
                <c:pt idx="17">
                  <c:v>11.48</c:v>
                </c:pt>
                <c:pt idx="18">
                  <c:v>11.07</c:v>
                </c:pt>
                <c:pt idx="19">
                  <c:v>10.92</c:v>
                </c:pt>
                <c:pt idx="20">
                  <c:v>11.99</c:v>
                </c:pt>
                <c:pt idx="21">
                  <c:v>9.61</c:v>
                </c:pt>
                <c:pt idx="22">
                  <c:v>8.92</c:v>
                </c:pt>
                <c:pt idx="23">
                  <c:v>9.6300000000000008</c:v>
                </c:pt>
                <c:pt idx="24">
                  <c:v>9.6300000000000008</c:v>
                </c:pt>
                <c:pt idx="25">
                  <c:v>10.7</c:v>
                </c:pt>
                <c:pt idx="26">
                  <c:v>6.14</c:v>
                </c:pt>
                <c:pt idx="27">
                  <c:v>5.0599999999999996</c:v>
                </c:pt>
                <c:pt idx="28">
                  <c:v>4.97</c:v>
                </c:pt>
                <c:pt idx="29">
                  <c:v>2.61</c:v>
                </c:pt>
                <c:pt idx="30">
                  <c:v>2.09</c:v>
                </c:pt>
                <c:pt idx="31">
                  <c:v>-2.8</c:v>
                </c:pt>
                <c:pt idx="32">
                  <c:v>4.3600000000000003</c:v>
                </c:pt>
                <c:pt idx="33">
                  <c:v>1.21</c:v>
                </c:pt>
                <c:pt idx="34">
                  <c:v>-5.52</c:v>
                </c:pt>
                <c:pt idx="35">
                  <c:v>1.41</c:v>
                </c:pt>
                <c:pt idx="36">
                  <c:v>3.02</c:v>
                </c:pt>
                <c:pt idx="37">
                  <c:v>5.76</c:v>
                </c:pt>
                <c:pt idx="38">
                  <c:v>3.38</c:v>
                </c:pt>
                <c:pt idx="39">
                  <c:v>-0.01</c:v>
                </c:pt>
                <c:pt idx="40">
                  <c:v>3.44</c:v>
                </c:pt>
                <c:pt idx="41">
                  <c:v>0.27</c:v>
                </c:pt>
                <c:pt idx="42">
                  <c:v>5.19</c:v>
                </c:pt>
                <c:pt idx="43">
                  <c:v>4.1900000000000004</c:v>
                </c:pt>
                <c:pt idx="44">
                  <c:v>9.5</c:v>
                </c:pt>
                <c:pt idx="45">
                  <c:v>9.35</c:v>
                </c:pt>
                <c:pt idx="46">
                  <c:v>12.27</c:v>
                </c:pt>
                <c:pt idx="47">
                  <c:v>8.33</c:v>
                </c:pt>
                <c:pt idx="48">
                  <c:v>12.06</c:v>
                </c:pt>
                <c:pt idx="49">
                  <c:v>4.18</c:v>
                </c:pt>
                <c:pt idx="50">
                  <c:v>9.1999999999999993</c:v>
                </c:pt>
                <c:pt idx="51">
                  <c:v>7.53</c:v>
                </c:pt>
                <c:pt idx="52">
                  <c:v>3.19</c:v>
                </c:pt>
                <c:pt idx="53">
                  <c:v>5.61</c:v>
                </c:pt>
                <c:pt idx="54">
                  <c:v>-5.08</c:v>
                </c:pt>
                <c:pt idx="55">
                  <c:v>-0.24</c:v>
                </c:pt>
                <c:pt idx="56">
                  <c:v>7.67</c:v>
                </c:pt>
                <c:pt idx="57">
                  <c:v>0.3</c:v>
                </c:pt>
                <c:pt idx="58">
                  <c:v>7.05</c:v>
                </c:pt>
                <c:pt idx="59">
                  <c:v>1.51</c:v>
                </c:pt>
                <c:pt idx="60">
                  <c:v>0.68</c:v>
                </c:pt>
                <c:pt idx="61">
                  <c:v>0.89</c:v>
                </c:pt>
                <c:pt idx="62">
                  <c:v>-5.7</c:v>
                </c:pt>
                <c:pt idx="63">
                  <c:v>-5.2</c:v>
                </c:pt>
                <c:pt idx="64">
                  <c:v>13.95</c:v>
                </c:pt>
                <c:pt idx="65">
                  <c:v>-0.68</c:v>
                </c:pt>
                <c:pt idx="66">
                  <c:v>-1.27</c:v>
                </c:pt>
                <c:pt idx="67">
                  <c:v>0.96</c:v>
                </c:pt>
                <c:pt idx="68">
                  <c:v>-2.0099999999999998</c:v>
                </c:pt>
                <c:pt idx="69">
                  <c:v>2.46</c:v>
                </c:pt>
                <c:pt idx="70">
                  <c:v>-3.55</c:v>
                </c:pt>
                <c:pt idx="71">
                  <c:v>1.26</c:v>
                </c:pt>
                <c:pt idx="72">
                  <c:v>4.28</c:v>
                </c:pt>
                <c:pt idx="73">
                  <c:v>0.38</c:v>
                </c:pt>
                <c:pt idx="74">
                  <c:v>0.76</c:v>
                </c:pt>
                <c:pt idx="75">
                  <c:v>2.0299999999999998</c:v>
                </c:pt>
                <c:pt idx="76">
                  <c:v>-0.26</c:v>
                </c:pt>
                <c:pt idx="77">
                  <c:v>-0.99</c:v>
                </c:pt>
                <c:pt idx="78">
                  <c:v>-1.74</c:v>
                </c:pt>
                <c:pt idx="79">
                  <c:v>2.94</c:v>
                </c:pt>
                <c:pt idx="80">
                  <c:v>0.49</c:v>
                </c:pt>
                <c:pt idx="81">
                  <c:v>-4.2300000000000004</c:v>
                </c:pt>
                <c:pt idx="82">
                  <c:v>-5.93</c:v>
                </c:pt>
                <c:pt idx="83">
                  <c:v>0.77</c:v>
                </c:pt>
                <c:pt idx="84">
                  <c:v>-0.11</c:v>
                </c:pt>
                <c:pt idx="85">
                  <c:v>0.13</c:v>
                </c:pt>
                <c:pt idx="86">
                  <c:v>-3.57</c:v>
                </c:pt>
                <c:pt idx="87">
                  <c:v>-2.69</c:v>
                </c:pt>
                <c:pt idx="88">
                  <c:v>-3.9</c:v>
                </c:pt>
                <c:pt idx="89">
                  <c:v>-3.18</c:v>
                </c:pt>
                <c:pt idx="90">
                  <c:v>-3.63</c:v>
                </c:pt>
                <c:pt idx="91">
                  <c:v>-10.77</c:v>
                </c:pt>
                <c:pt idx="92">
                  <c:v>-3.75</c:v>
                </c:pt>
                <c:pt idx="93">
                  <c:v>3.28</c:v>
                </c:pt>
                <c:pt idx="94">
                  <c:v>0.49</c:v>
                </c:pt>
                <c:pt idx="95">
                  <c:v>-6.52</c:v>
                </c:pt>
                <c:pt idx="96">
                  <c:v>-2.09</c:v>
                </c:pt>
                <c:pt idx="97">
                  <c:v>-2.37</c:v>
                </c:pt>
                <c:pt idx="98">
                  <c:v>-2.81</c:v>
                </c:pt>
                <c:pt idx="99">
                  <c:v>-2.37</c:v>
                </c:pt>
                <c:pt idx="100">
                  <c:v>-2.31</c:v>
                </c:pt>
                <c:pt idx="101">
                  <c:v>-2.02</c:v>
                </c:pt>
                <c:pt idx="102">
                  <c:v>-3.21</c:v>
                </c:pt>
                <c:pt idx="103">
                  <c:v>-3.9</c:v>
                </c:pt>
                <c:pt idx="104">
                  <c:v>-1.79</c:v>
                </c:pt>
                <c:pt idx="105">
                  <c:v>-2.73</c:v>
                </c:pt>
                <c:pt idx="106">
                  <c:v>-3.01</c:v>
                </c:pt>
                <c:pt idx="107">
                  <c:v>0.51</c:v>
                </c:pt>
                <c:pt idx="108">
                  <c:v>-5.14</c:v>
                </c:pt>
                <c:pt idx="109">
                  <c:v>-0.36</c:v>
                </c:pt>
                <c:pt idx="110">
                  <c:v>-1.18</c:v>
                </c:pt>
                <c:pt idx="111">
                  <c:v>-4.55</c:v>
                </c:pt>
                <c:pt idx="112">
                  <c:v>-6.57</c:v>
                </c:pt>
                <c:pt idx="113">
                  <c:v>-3.82</c:v>
                </c:pt>
                <c:pt idx="114">
                  <c:v>-5.25</c:v>
                </c:pt>
                <c:pt idx="115">
                  <c:v>-5.0199999999999996</c:v>
                </c:pt>
                <c:pt idx="116">
                  <c:v>-6.04</c:v>
                </c:pt>
                <c:pt idx="117">
                  <c:v>-6.94</c:v>
                </c:pt>
                <c:pt idx="118">
                  <c:v>-1.64</c:v>
                </c:pt>
                <c:pt idx="119">
                  <c:v>-2.33</c:v>
                </c:pt>
                <c:pt idx="120">
                  <c:v>-0.6</c:v>
                </c:pt>
                <c:pt idx="121">
                  <c:v>-1.88</c:v>
                </c:pt>
                <c:pt idx="122">
                  <c:v>-2.34</c:v>
                </c:pt>
                <c:pt idx="123">
                  <c:v>-5.25</c:v>
                </c:pt>
                <c:pt idx="124">
                  <c:v>7.0000000000000007E-2</c:v>
                </c:pt>
                <c:pt idx="125">
                  <c:v>-5.61</c:v>
                </c:pt>
                <c:pt idx="126">
                  <c:v>-1.83</c:v>
                </c:pt>
                <c:pt idx="127">
                  <c:v>-10.84</c:v>
                </c:pt>
                <c:pt idx="128">
                  <c:v>-3.91</c:v>
                </c:pt>
                <c:pt idx="129">
                  <c:v>-5.55</c:v>
                </c:pt>
                <c:pt idx="130">
                  <c:v>-8.89</c:v>
                </c:pt>
                <c:pt idx="131">
                  <c:v>-8.1</c:v>
                </c:pt>
                <c:pt idx="132">
                  <c:v>-8.42</c:v>
                </c:pt>
                <c:pt idx="133">
                  <c:v>-8.09</c:v>
                </c:pt>
                <c:pt idx="134">
                  <c:v>-5.92</c:v>
                </c:pt>
                <c:pt idx="135">
                  <c:v>-6.72</c:v>
                </c:pt>
                <c:pt idx="136">
                  <c:v>-7.61</c:v>
                </c:pt>
                <c:pt idx="137">
                  <c:v>-3.86</c:v>
                </c:pt>
                <c:pt idx="138">
                  <c:v>-4.6900000000000004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28-5A48-A8CF-F08399CC0A29}"/>
            </c:ext>
          </c:extLst>
        </c:ser>
        <c:ser>
          <c:idx val="1"/>
          <c:order val="1"/>
          <c:tx>
            <c:v>Hegyhátsál torony fa</c:v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1016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[1]Munka1!$AX$2:$AX$8</c:f>
                <c:numCache>
                  <c:formatCode>General</c:formatCode>
                  <c:ptCount val="7"/>
                  <c:pt idx="0">
                    <c:v>2.2972421069089357</c:v>
                  </c:pt>
                  <c:pt idx="1">
                    <c:v>9.6435843672222077E-2</c:v>
                  </c:pt>
                  <c:pt idx="2">
                    <c:v>2.798734106663486E-2</c:v>
                  </c:pt>
                  <c:pt idx="3">
                    <c:v>5.0608883455266946</c:v>
                  </c:pt>
                  <c:pt idx="4">
                    <c:v>7.7956900593552358</c:v>
                  </c:pt>
                  <c:pt idx="5">
                    <c:v>4.003058721454086</c:v>
                  </c:pt>
                  <c:pt idx="6">
                    <c:v>1.3873379156867307</c:v>
                  </c:pt>
                </c:numCache>
              </c:numRef>
            </c:plus>
            <c:minus>
              <c:numRef>
                <c:f>[1]Munka1!$AX$2:$AX$8</c:f>
                <c:numCache>
                  <c:formatCode>General</c:formatCode>
                  <c:ptCount val="7"/>
                  <c:pt idx="0">
                    <c:v>2.2972421069089357</c:v>
                  </c:pt>
                  <c:pt idx="1">
                    <c:v>9.6435843672222077E-2</c:v>
                  </c:pt>
                  <c:pt idx="2">
                    <c:v>2.798734106663486E-2</c:v>
                  </c:pt>
                  <c:pt idx="3">
                    <c:v>5.0608883455266946</c:v>
                  </c:pt>
                  <c:pt idx="4">
                    <c:v>7.7956900593552358</c:v>
                  </c:pt>
                  <c:pt idx="5">
                    <c:v>4.003058721454086</c:v>
                  </c:pt>
                  <c:pt idx="6">
                    <c:v>1.3873379156867307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[1]Munka1!$AQ$2:$AQ$8</c:f>
              <c:numCache>
                <c:formatCode>General</c:formatCode>
                <c:ptCount val="7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</c:numCache>
            </c:numRef>
          </c:xVal>
          <c:yVal>
            <c:numRef>
              <c:f>[1]Munka1!$AW$2:$AW$8</c:f>
              <c:numCache>
                <c:formatCode>General</c:formatCode>
                <c:ptCount val="7"/>
                <c:pt idx="0">
                  <c:v>-5.4333814226196209</c:v>
                </c:pt>
                <c:pt idx="1">
                  <c:v>-5.9629519314214896</c:v>
                </c:pt>
                <c:pt idx="2">
                  <c:v>1.7768765775445505</c:v>
                </c:pt>
                <c:pt idx="3">
                  <c:v>9.87080590567302</c:v>
                </c:pt>
                <c:pt idx="4">
                  <c:v>6.7309797281583927</c:v>
                </c:pt>
                <c:pt idx="5">
                  <c:v>13.486887420044667</c:v>
                </c:pt>
                <c:pt idx="6">
                  <c:v>15.68831114382918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28-5A48-A8CF-F08399CC0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08399"/>
        <c:axId val="24004239"/>
        <c:extLst/>
      </c:scatterChart>
      <c:valAx>
        <c:axId val="24008399"/>
        <c:scaling>
          <c:orientation val="minMax"/>
          <c:max val="2021"/>
          <c:min val="20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merican Typewriter Semibold" panose="02090604020004020304" pitchFamily="18" charset="77"/>
                    <a:ea typeface="+mn-ea"/>
                    <a:cs typeface="+mn-cs"/>
                  </a:defRPr>
                </a:pPr>
                <a:r>
                  <a:rPr lang="hu-HU" sz="2000" b="1" i="0">
                    <a:latin typeface="American Typewriter Semibold" panose="02090604020004020304" pitchFamily="18" charset="77"/>
                  </a:rPr>
                  <a:t>Év</a:t>
                </a:r>
                <a:endParaRPr lang="en-GB" sz="2000" b="1" i="0">
                  <a:latin typeface="American Typewriter Semibold" panose="02090604020004020304" pitchFamily="18" charset="77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merican Typewriter Semibold" panose="02090604020004020304" pitchFamily="18" charset="77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erican Typewriter Semibold" panose="02090604020004020304" pitchFamily="18" charset="77"/>
                <a:ea typeface="+mn-ea"/>
                <a:cs typeface="+mn-cs"/>
              </a:defRPr>
            </a:pPr>
            <a:endParaRPr lang="en-HU"/>
          </a:p>
        </c:txPr>
        <c:crossAx val="24004239"/>
        <c:crosses val="autoZero"/>
        <c:crossBetween val="midCat"/>
        <c:minorUnit val="1"/>
      </c:valAx>
      <c:valAx>
        <c:axId val="24004239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merican Typewriter Semibold" panose="02090604020004020304" pitchFamily="18" charset="77"/>
                    <a:ea typeface="+mn-ea"/>
                    <a:cs typeface="+mn-cs"/>
                  </a:defRPr>
                </a:pPr>
                <a:r>
                  <a:rPr lang="hu-HU" sz="2400" b="1" i="0">
                    <a:latin typeface="Symbol" pitchFamily="2" charset="2"/>
                  </a:rPr>
                  <a:t>D</a:t>
                </a:r>
                <a:r>
                  <a:rPr lang="hu-HU" sz="2400" b="1" i="0" baseline="30000">
                    <a:latin typeface="American Typewriter Semibold" panose="02090604020004020304" pitchFamily="18" charset="77"/>
                  </a:rPr>
                  <a:t>14</a:t>
                </a:r>
                <a:r>
                  <a:rPr lang="hu-HU" sz="2400" b="1" i="0">
                    <a:latin typeface="American Typewriter Semibold" panose="02090604020004020304" pitchFamily="18" charset="77"/>
                  </a:rPr>
                  <a:t>C</a:t>
                </a:r>
                <a:endParaRPr lang="en-GB" sz="2400" b="1" i="0">
                  <a:latin typeface="American Typewriter Semibold" panose="02090604020004020304" pitchFamily="18" charset="77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merican Typewriter Semibold" panose="02090604020004020304" pitchFamily="18" charset="77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erican Typewriter Semibold" panose="02090604020004020304" pitchFamily="18" charset="77"/>
                <a:ea typeface="+mn-ea"/>
                <a:cs typeface="+mn-cs"/>
              </a:defRPr>
            </a:pPr>
            <a:endParaRPr lang="en-HU"/>
          </a:p>
        </c:txPr>
        <c:crossAx val="2400839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6.498128867443495E-2"/>
          <c:y val="7.9209751542359055E-2"/>
          <c:w val="0.87003733683904316"/>
          <c:h val="9.189293702142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erican Typewriter Semibold" panose="02090604020004020304" pitchFamily="18" charset="77"/>
              <a:ea typeface="+mn-ea"/>
              <a:cs typeface="+mn-cs"/>
            </a:defRPr>
          </a:pPr>
          <a:endParaRPr lang="en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800" b="1" i="0" baseline="0">
                <a:effectLst/>
              </a:rPr>
              <a:t>Fosszilis </a:t>
            </a:r>
            <a:r>
              <a:rPr lang="hu-HU" sz="1800" b="1" i="0" baseline="0">
                <a:effectLst/>
                <a:latin typeface="Symbol" pitchFamily="2" charset="2"/>
              </a:rPr>
              <a:t>D</a:t>
            </a:r>
            <a:r>
              <a:rPr lang="hu-HU" sz="1800" b="1" i="0" baseline="30000">
                <a:effectLst/>
              </a:rPr>
              <a:t>14</a:t>
            </a:r>
            <a:r>
              <a:rPr lang="hu-HU" sz="1800" b="1" i="0" baseline="0">
                <a:effectLst/>
              </a:rPr>
              <a:t>C többlet</a:t>
            </a:r>
            <a:r>
              <a:rPr lang="hu-HU" sz="1800" b="0" i="0" baseline="0">
                <a:effectLst/>
              </a:rPr>
              <a:t> </a:t>
            </a:r>
            <a:endParaRPr lang="hu-H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[1]Munka1!$P$42</c:f>
              <c:strCache>
                <c:ptCount val="1"/>
                <c:pt idx="0">
                  <c:v>DD14C (HUN-Dp)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chemeClr val="accent2"/>
                </a:solidFill>
              </a:ln>
              <a:effectLst/>
            </c:spPr>
          </c:marker>
          <c:xVal>
            <c:numRef>
              <c:f>[1]Munka1!$M$43:$M$49</c:f>
              <c:numCache>
                <c:formatCode>General</c:formatCode>
                <c:ptCount val="7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</c:numCache>
            </c:numRef>
          </c:xVal>
          <c:yVal>
            <c:numRef>
              <c:f>[1]Munka1!$P$43:$P$49</c:f>
              <c:numCache>
                <c:formatCode>General</c:formatCode>
                <c:ptCount val="7"/>
                <c:pt idx="0">
                  <c:v>19.527188100523894</c:v>
                </c:pt>
                <c:pt idx="1">
                  <c:v>7.5536723261248611</c:v>
                </c:pt>
                <c:pt idx="2">
                  <c:v>4.8252709281470523</c:v>
                </c:pt>
                <c:pt idx="3">
                  <c:v>11.123254303069819</c:v>
                </c:pt>
                <c:pt idx="4">
                  <c:v>1.8287050090971535</c:v>
                </c:pt>
                <c:pt idx="5">
                  <c:v>5.9876229482014303</c:v>
                </c:pt>
                <c:pt idx="6">
                  <c:v>0.63065576295140424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A1-1445-B89C-8E41CAAF84BA}"/>
            </c:ext>
          </c:extLst>
        </c:ser>
        <c:ser>
          <c:idx val="1"/>
          <c:order val="1"/>
          <c:tx>
            <c:strRef>
              <c:f>[1]Munka1!$Q$42</c:f>
              <c:strCache>
                <c:ptCount val="1"/>
                <c:pt idx="0">
                  <c:v>DD14C (HUN-Budaörsi út)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0800">
                <a:solidFill>
                  <a:srgbClr val="C00000"/>
                </a:solidFill>
              </a:ln>
              <a:effectLst/>
            </c:spPr>
          </c:marker>
          <c:xVal>
            <c:numRef>
              <c:f>[1]Munka1!$M$43:$M$49</c:f>
              <c:numCache>
                <c:formatCode>General</c:formatCode>
                <c:ptCount val="7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</c:numCache>
            </c:numRef>
          </c:xVal>
          <c:yVal>
            <c:numRef>
              <c:f>[1]Munka1!$Q$43:$Q$49</c:f>
              <c:numCache>
                <c:formatCode>General</c:formatCode>
                <c:ptCount val="7"/>
                <c:pt idx="0">
                  <c:v>9.5692717411717823</c:v>
                </c:pt>
                <c:pt idx="1">
                  <c:v>6.1213638768796148</c:v>
                </c:pt>
                <c:pt idx="2">
                  <c:v>10.228290205448909</c:v>
                </c:pt>
                <c:pt idx="3">
                  <c:v>11.274883451157626</c:v>
                </c:pt>
                <c:pt idx="4">
                  <c:v>7.9840719963183426</c:v>
                </c:pt>
                <c:pt idx="5">
                  <c:v>8.5450902723831472</c:v>
                </c:pt>
                <c:pt idx="6">
                  <c:v>2.7719869432831761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A1-1445-B89C-8E41CAAF84BA}"/>
            </c:ext>
          </c:extLst>
        </c:ser>
        <c:ser>
          <c:idx val="2"/>
          <c:order val="2"/>
          <c:tx>
            <c:strRef>
              <c:f>[1]Munka1!$R$42</c:f>
              <c:strCache>
                <c:ptCount val="1"/>
                <c:pt idx="0">
                  <c:v>DD14C (HUN-DEB)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50800">
                <a:solidFill>
                  <a:schemeClr val="accent3"/>
                </a:solidFill>
              </a:ln>
              <a:effectLst/>
            </c:spPr>
          </c:marker>
          <c:xVal>
            <c:numRef>
              <c:f>[1]Munka1!$M$43:$M$49</c:f>
              <c:numCache>
                <c:formatCode>General</c:formatCode>
                <c:ptCount val="7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</c:numCache>
            </c:numRef>
          </c:xVal>
          <c:yVal>
            <c:numRef>
              <c:f>[1]Munka1!$R$43:$R$49</c:f>
              <c:numCache>
                <c:formatCode>General</c:formatCode>
                <c:ptCount val="7"/>
                <c:pt idx="0">
                  <c:v>3.2070506917041266</c:v>
                </c:pt>
                <c:pt idx="1">
                  <c:v>-2.3234279651376255</c:v>
                </c:pt>
                <c:pt idx="2">
                  <c:v>2.55765924849638</c:v>
                </c:pt>
                <c:pt idx="3">
                  <c:v>5.7132857751781572</c:v>
                </c:pt>
                <c:pt idx="4">
                  <c:v>1.0868736466641549</c:v>
                </c:pt>
                <c:pt idx="5">
                  <c:v>1.7163431920477183</c:v>
                </c:pt>
                <c:pt idx="6">
                  <c:v>-0.76606980205051833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A1-1445-B89C-8E41CAAF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132287"/>
        <c:axId val="1650132703"/>
      </c:scatterChart>
      <c:valAx>
        <c:axId val="1650132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 i="0">
                    <a:latin typeface="American Typewriter Semibold" panose="02090604020004020304" pitchFamily="18" charset="77"/>
                  </a:rPr>
                  <a:t>Év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erican Typewriter Semibold" panose="02090604020004020304" pitchFamily="18" charset="77"/>
                <a:ea typeface="+mn-ea"/>
                <a:cs typeface="+mn-cs"/>
              </a:defRPr>
            </a:pPr>
            <a:endParaRPr lang="en-HU"/>
          </a:p>
        </c:txPr>
        <c:crossAx val="1650132703"/>
        <c:crosses val="autoZero"/>
        <c:crossBetween val="midCat"/>
      </c:valAx>
      <c:valAx>
        <c:axId val="165013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400" b="1" i="0" u="none" strike="noStrike" baseline="0">
                    <a:effectLst/>
                    <a:latin typeface="Symbol" pitchFamily="2" charset="2"/>
                  </a:rPr>
                  <a:t>D</a:t>
                </a:r>
                <a:r>
                  <a:rPr lang="hu-HU" sz="1400" b="1" i="0" u="none" strike="noStrike" baseline="30000">
                    <a:effectLst/>
                    <a:latin typeface="American Typewriter Semibold" panose="02090604020004020304" pitchFamily="18" charset="77"/>
                  </a:rPr>
                  <a:t>14</a:t>
                </a:r>
                <a:r>
                  <a:rPr lang="hu-HU" sz="1400" b="1" i="0" u="none" strike="noStrike" baseline="0">
                    <a:effectLst/>
                    <a:latin typeface="American Typewriter Semibold" panose="02090604020004020304" pitchFamily="18" charset="77"/>
                  </a:rPr>
                  <a:t>C többlet</a:t>
                </a:r>
                <a:r>
                  <a:rPr lang="hu-HU" sz="1000" b="0" i="0" u="none" strike="noStrike" baseline="0"/>
                  <a:t>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erican Typewriter Semibold" panose="02090604020004020304" pitchFamily="18" charset="77"/>
                <a:ea typeface="+mn-ea"/>
                <a:cs typeface="+mn-cs"/>
              </a:defRPr>
            </a:pPr>
            <a:endParaRPr lang="en-HU"/>
          </a:p>
        </c:txPr>
        <c:crossAx val="16501322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533400</xdr:colOff>
      <xdr:row>12</xdr:row>
      <xdr:rowOff>101600</xdr:rowOff>
    </xdr:from>
    <xdr:to>
      <xdr:col>26</xdr:col>
      <xdr:colOff>259327</xdr:colOff>
      <xdr:row>26</xdr:row>
      <xdr:rowOff>198781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91D8AB-AC6C-EE4A-A94D-D2D339D6F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553483</xdr:colOff>
      <xdr:row>12</xdr:row>
      <xdr:rowOff>144293</xdr:rowOff>
    </xdr:from>
    <xdr:to>
      <xdr:col>16</xdr:col>
      <xdr:colOff>492192</xdr:colOff>
      <xdr:row>27</xdr:row>
      <xdr:rowOff>17293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09B23C0-B5E1-DD4D-ABA0-535F1AC79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246529</xdr:colOff>
      <xdr:row>28</xdr:row>
      <xdr:rowOff>156883</xdr:rowOff>
    </xdr:from>
    <xdr:to>
      <xdr:col>29</xdr:col>
      <xdr:colOff>356152</xdr:colOff>
      <xdr:row>48</xdr:row>
      <xdr:rowOff>144314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39614FB-D8BC-BC49-B90E-5E9218D60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431117</xdr:colOff>
      <xdr:row>49</xdr:row>
      <xdr:rowOff>169334</xdr:rowOff>
    </xdr:from>
    <xdr:to>
      <xdr:col>46</xdr:col>
      <xdr:colOff>304800</xdr:colOff>
      <xdr:row>79</xdr:row>
      <xdr:rowOff>169333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A591D27-2E1E-234C-8F21-E84CEAD63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61</xdr:row>
      <xdr:rowOff>45610</xdr:rowOff>
    </xdr:from>
    <xdr:to>
      <xdr:col>14</xdr:col>
      <xdr:colOff>538143</xdr:colOff>
      <xdr:row>97</xdr:row>
      <xdr:rowOff>89255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EA0CA6F4-C219-E446-964C-80B9B0FEA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1063564</xdr:colOff>
      <xdr:row>24</xdr:row>
      <xdr:rowOff>157133</xdr:rowOff>
    </xdr:from>
    <xdr:to>
      <xdr:col>48</xdr:col>
      <xdr:colOff>368301</xdr:colOff>
      <xdr:row>50</xdr:row>
      <xdr:rowOff>174978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76F1060A-9EE9-DC4B-B4DE-6088B33BD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308342</xdr:colOff>
      <xdr:row>54</xdr:row>
      <xdr:rowOff>59710</xdr:rowOff>
    </xdr:from>
    <xdr:to>
      <xdr:col>29</xdr:col>
      <xdr:colOff>551002</xdr:colOff>
      <xdr:row>72</xdr:row>
      <xdr:rowOff>121411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2A78FB8B-C10F-F24F-B058-48344DB86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arathbalazs/Library/Mobile%20Documents/com~apple~CloudDocs/Documents/BUDAPEST/ELTE/Pa&#769;lya&#769;zatok/2023-24/&#8364;&#8364;&#8364;UNKP&#8364;&#8364;&#8364;/Budapest_tree_ring_220117.xlsx" TargetMode="External"/><Relationship Id="rId1" Type="http://schemas.openxmlformats.org/officeDocument/2006/relationships/externalLinkPath" Target="/Users/barathbalazs/Library/Mobile%20Documents/com~apple~CloudDocs/Documents/BUDAPEST/ELTE/Pa&#769;lya&#769;zatok/2023-24/&#8364;&#8364;&#8364;UNKP&#8364;&#8364;&#8364;/Budapest_tree_ring_2201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nka1"/>
    </sheetNames>
    <sheetDataSet>
      <sheetData sheetId="0">
        <row r="2">
          <cell r="AQ2">
            <v>2020</v>
          </cell>
          <cell r="AW2">
            <v>-5.4333814226196209</v>
          </cell>
          <cell r="AX2">
            <v>2.2972421069089357</v>
          </cell>
          <cell r="BA2">
            <v>2015.7287671199999</v>
          </cell>
          <cell r="BB2">
            <v>13.77</v>
          </cell>
          <cell r="BC2">
            <v>1.27</v>
          </cell>
        </row>
        <row r="3">
          <cell r="C3">
            <v>2020</v>
          </cell>
          <cell r="D3">
            <v>2020.5</v>
          </cell>
          <cell r="M3">
            <v>2020</v>
          </cell>
          <cell r="N3">
            <v>2020.5</v>
          </cell>
          <cell r="Q3">
            <v>-24.960569523143516</v>
          </cell>
          <cell r="S3">
            <v>22.028895979447238</v>
          </cell>
          <cell r="X3">
            <v>2020.5</v>
          </cell>
          <cell r="AA3">
            <v>2.2976717086842235</v>
          </cell>
          <cell r="AG3">
            <v>2020.5</v>
          </cell>
          <cell r="AJ3">
            <v>-2.9316735436962782</v>
          </cell>
          <cell r="AQ3">
            <v>2019</v>
          </cell>
          <cell r="AW3">
            <v>-5.9629519314214896</v>
          </cell>
          <cell r="AX3">
            <v>9.6435843672222077E-2</v>
          </cell>
          <cell r="BA3">
            <v>2015.76712329</v>
          </cell>
          <cell r="BB3">
            <v>3.75</v>
          </cell>
          <cell r="BC3">
            <v>1.49</v>
          </cell>
        </row>
        <row r="4">
          <cell r="C4">
            <v>2019</v>
          </cell>
          <cell r="D4">
            <v>2019.5</v>
          </cell>
          <cell r="G4">
            <v>-12.163842082813293</v>
          </cell>
          <cell r="I4">
            <v>9.8540330730516601</v>
          </cell>
          <cell r="M4">
            <v>2019</v>
          </cell>
          <cell r="N4">
            <v>2019.5</v>
          </cell>
          <cell r="Q4">
            <v>-14.869406432279408</v>
          </cell>
          <cell r="S4">
            <v>12.559597422517776</v>
          </cell>
          <cell r="X4">
            <v>2019.5</v>
          </cell>
          <cell r="AA4">
            <v>2.3367778016323282</v>
          </cell>
          <cell r="AG4">
            <v>2019.5</v>
          </cell>
          <cell r="AJ4">
            <v>-2.3098090097616319</v>
          </cell>
          <cell r="AQ4">
            <v>2018</v>
          </cell>
          <cell r="AW4">
            <v>1.7768765775445505</v>
          </cell>
          <cell r="AX4">
            <v>2.798734106663486E-2</v>
          </cell>
          <cell r="BA4">
            <v>2015.8054794499999</v>
          </cell>
          <cell r="BB4">
            <v>12.26</v>
          </cell>
          <cell r="BC4">
            <v>1.52</v>
          </cell>
        </row>
        <row r="5">
          <cell r="C5">
            <v>2018</v>
          </cell>
          <cell r="D5">
            <v>2018.5</v>
          </cell>
          <cell r="G5">
            <v>-0.8080378504007335</v>
          </cell>
          <cell r="I5">
            <v>6.6285907358079044</v>
          </cell>
          <cell r="M5">
            <v>2018</v>
          </cell>
          <cell r="N5">
            <v>2018.5</v>
          </cell>
          <cell r="Q5">
            <v>-5.2887508508042691</v>
          </cell>
          <cell r="S5">
            <v>11.109303736211441</v>
          </cell>
          <cell r="X5">
            <v>2018.5</v>
          </cell>
          <cell r="AA5">
            <v>4.9274463965547355</v>
          </cell>
          <cell r="AG5">
            <v>2018.5</v>
          </cell>
          <cell r="AJ5">
            <v>5.8205528854071709</v>
          </cell>
          <cell r="AQ5">
            <v>2017</v>
          </cell>
          <cell r="AW5">
            <v>9.87080590567302</v>
          </cell>
          <cell r="AX5">
            <v>5.0608883455266946</v>
          </cell>
          <cell r="BA5">
            <v>2015.8438356199999</v>
          </cell>
          <cell r="BB5">
            <v>14.24</v>
          </cell>
          <cell r="BC5">
            <v>1.65</v>
          </cell>
        </row>
        <row r="6">
          <cell r="C6">
            <v>2017</v>
          </cell>
          <cell r="D6">
            <v>2017.5</v>
          </cell>
          <cell r="G6">
            <v>-1.2524483973967993</v>
          </cell>
          <cell r="I6">
            <v>4.5904436810355609</v>
          </cell>
          <cell r="M6">
            <v>2017</v>
          </cell>
          <cell r="N6">
            <v>2017.5</v>
          </cell>
          <cell r="X6">
            <v>2017.5</v>
          </cell>
          <cell r="AA6">
            <v>9.069423559097789</v>
          </cell>
          <cell r="AG6">
            <v>2017.5</v>
          </cell>
          <cell r="AJ6">
            <v>3.3379952836387616</v>
          </cell>
          <cell r="AQ6">
            <v>2016</v>
          </cell>
          <cell r="AW6">
            <v>6.7309797281583927</v>
          </cell>
          <cell r="AX6">
            <v>7.7956900593552358</v>
          </cell>
          <cell r="BA6">
            <v>2015.8849315099999</v>
          </cell>
          <cell r="BB6">
            <v>11.34</v>
          </cell>
          <cell r="BC6">
            <v>1.59</v>
          </cell>
        </row>
        <row r="7">
          <cell r="C7">
            <v>2016</v>
          </cell>
          <cell r="D7">
            <v>2016.5</v>
          </cell>
          <cell r="G7">
            <v>5.3194394838800285</v>
          </cell>
          <cell r="I7">
            <v>2.2802425411416749E-2</v>
          </cell>
          <cell r="M7">
            <v>2016</v>
          </cell>
          <cell r="N7">
            <v>2016.5</v>
          </cell>
          <cell r="Q7">
            <v>4.48510995424245</v>
          </cell>
          <cell r="S7">
            <v>0.85713195504899531</v>
          </cell>
          <cell r="X7">
            <v>2016.5</v>
          </cell>
          <cell r="AA7">
            <v>11.370934011000422</v>
          </cell>
          <cell r="AG7">
            <v>2016.5</v>
          </cell>
          <cell r="AJ7">
            <v>5.3422419092914453</v>
          </cell>
          <cell r="AQ7">
            <v>2015</v>
          </cell>
          <cell r="AW7">
            <v>13.486887420044667</v>
          </cell>
          <cell r="AX7">
            <v>4.003058721454086</v>
          </cell>
          <cell r="BA7">
            <v>2015.9178082200001</v>
          </cell>
          <cell r="BB7">
            <v>11.18</v>
          </cell>
          <cell r="BC7">
            <v>1.8</v>
          </cell>
        </row>
        <row r="8">
          <cell r="C8">
            <v>2015</v>
          </cell>
          <cell r="D8">
            <v>2015.5</v>
          </cell>
          <cell r="G8">
            <v>12.721982166285395</v>
          </cell>
          <cell r="I8">
            <v>-3.427378356146038</v>
          </cell>
          <cell r="M8">
            <v>2015</v>
          </cell>
          <cell r="N8">
            <v>2015.5</v>
          </cell>
          <cell r="Q8">
            <v>2.2765467774010784</v>
          </cell>
          <cell r="S8">
            <v>7.0180570327382785</v>
          </cell>
          <cell r="X8">
            <v>2015.5</v>
          </cell>
          <cell r="AA8">
            <v>13.984918254944745</v>
          </cell>
          <cell r="AG8">
            <v>2015.5</v>
          </cell>
          <cell r="AJ8">
            <v>9.2946038101393569</v>
          </cell>
          <cell r="AQ8">
            <v>2014</v>
          </cell>
          <cell r="AW8">
            <v>15.68831114382918</v>
          </cell>
          <cell r="AX8">
            <v>1.3873379156867307</v>
          </cell>
          <cell r="BA8">
            <v>2015.95616438</v>
          </cell>
          <cell r="BB8">
            <v>13.9</v>
          </cell>
          <cell r="BC8">
            <v>1.71</v>
          </cell>
        </row>
        <row r="9">
          <cell r="C9">
            <v>2014</v>
          </cell>
          <cell r="D9">
            <v>2014.5</v>
          </cell>
          <cell r="G9">
            <v>17.591998437075816</v>
          </cell>
          <cell r="I9">
            <v>-2.2297834873241644</v>
          </cell>
          <cell r="M9">
            <v>2014</v>
          </cell>
          <cell r="N9">
            <v>2014.5</v>
          </cell>
          <cell r="Q9">
            <v>12.523312324679736</v>
          </cell>
          <cell r="S9">
            <v>2.8389026250719152</v>
          </cell>
          <cell r="X9">
            <v>2014.5</v>
          </cell>
          <cell r="AA9">
            <v>21.235901421385648</v>
          </cell>
          <cell r="AG9">
            <v>2014.5</v>
          </cell>
          <cell r="AJ9">
            <v>15.362214949751651</v>
          </cell>
          <cell r="BA9">
            <v>2015.9945205500001</v>
          </cell>
          <cell r="BB9">
            <v>12.87</v>
          </cell>
          <cell r="BC9">
            <v>1.46</v>
          </cell>
        </row>
        <row r="10">
          <cell r="M10">
            <v>2013</v>
          </cell>
          <cell r="N10">
            <v>2013.5</v>
          </cell>
          <cell r="Q10">
            <v>28.180916312505744</v>
          </cell>
          <cell r="BA10">
            <v>2016.0327868899999</v>
          </cell>
          <cell r="BB10">
            <v>13.5</v>
          </cell>
          <cell r="BC10">
            <v>1.59</v>
          </cell>
        </row>
        <row r="11">
          <cell r="M11">
            <v>2012</v>
          </cell>
          <cell r="N11">
            <v>2012.5</v>
          </cell>
          <cell r="BA11">
            <v>2016.0710382499999</v>
          </cell>
          <cell r="BB11">
            <v>13.09</v>
          </cell>
          <cell r="BC11">
            <v>1.74</v>
          </cell>
        </row>
        <row r="12">
          <cell r="M12">
            <v>2011</v>
          </cell>
          <cell r="N12">
            <v>2011.5</v>
          </cell>
          <cell r="Q12">
            <v>35.365518552961106</v>
          </cell>
          <cell r="BA12">
            <v>2016.10928962</v>
          </cell>
          <cell r="BB12">
            <v>4.5599999999999996</v>
          </cell>
          <cell r="BC12">
            <v>1.65</v>
          </cell>
        </row>
        <row r="13">
          <cell r="BA13">
            <v>2016.14754098</v>
          </cell>
          <cell r="BB13">
            <v>6.02</v>
          </cell>
          <cell r="BC13">
            <v>1.6</v>
          </cell>
        </row>
        <row r="14">
          <cell r="BA14">
            <v>2016.1857923499999</v>
          </cell>
          <cell r="BB14">
            <v>2.87</v>
          </cell>
          <cell r="BC14">
            <v>1.26</v>
          </cell>
        </row>
        <row r="15">
          <cell r="BA15">
            <v>2016.2240437200001</v>
          </cell>
          <cell r="BB15">
            <v>9.92</v>
          </cell>
          <cell r="BC15">
            <v>1.53</v>
          </cell>
        </row>
        <row r="16">
          <cell r="D16">
            <v>2021.5</v>
          </cell>
          <cell r="G16">
            <v>-15.451429802593175</v>
          </cell>
          <cell r="BA16">
            <v>2016.2622950800001</v>
          </cell>
          <cell r="BB16">
            <v>7.43</v>
          </cell>
          <cell r="BC16">
            <v>1.71</v>
          </cell>
        </row>
        <row r="17">
          <cell r="D17">
            <v>2020.5</v>
          </cell>
          <cell r="G17">
            <v>-15.37224246351343</v>
          </cell>
          <cell r="BA17">
            <v>2016.3032786900001</v>
          </cell>
          <cell r="BB17">
            <v>8.67</v>
          </cell>
          <cell r="BC17">
            <v>1.71</v>
          </cell>
        </row>
        <row r="18">
          <cell r="D18">
            <v>2019.5</v>
          </cell>
          <cell r="G18">
            <v>-11.473699018396566</v>
          </cell>
          <cell r="BA18">
            <v>2016.33879781</v>
          </cell>
          <cell r="BB18">
            <v>12.35</v>
          </cell>
          <cell r="BC18">
            <v>1.43</v>
          </cell>
        </row>
        <row r="19">
          <cell r="D19">
            <v>2018.5</v>
          </cell>
          <cell r="G19">
            <v>-8.2095972976220501</v>
          </cell>
          <cell r="BA19">
            <v>2016.3770491800001</v>
          </cell>
          <cell r="BB19">
            <v>11.48</v>
          </cell>
          <cell r="BC19">
            <v>1.62</v>
          </cell>
        </row>
        <row r="20">
          <cell r="D20">
            <v>2017.5</v>
          </cell>
          <cell r="G20">
            <v>2.9797316888120484</v>
          </cell>
          <cell r="BA20">
            <v>2016.41530055</v>
          </cell>
          <cell r="BB20">
            <v>11.07</v>
          </cell>
          <cell r="BC20">
            <v>1.1000000000000001</v>
          </cell>
        </row>
        <row r="21">
          <cell r="D21">
            <v>2016.5</v>
          </cell>
          <cell r="G21">
            <v>-1.8804653203079447</v>
          </cell>
          <cell r="BA21">
            <v>2016.4562841500001</v>
          </cell>
          <cell r="BB21">
            <v>10.92</v>
          </cell>
          <cell r="BC21">
            <v>1.28</v>
          </cell>
        </row>
        <row r="22">
          <cell r="D22">
            <v>2015.5</v>
          </cell>
          <cell r="G22">
            <v>4.5278093941967246</v>
          </cell>
          <cell r="BA22">
            <v>2016.4918032800001</v>
          </cell>
          <cell r="BB22">
            <v>11.99</v>
          </cell>
          <cell r="BC22">
            <v>1.86</v>
          </cell>
        </row>
        <row r="23">
          <cell r="D23">
            <v>2014.5</v>
          </cell>
          <cell r="G23">
            <v>15.476816915586777</v>
          </cell>
          <cell r="BA23">
            <v>2016.5300546399999</v>
          </cell>
          <cell r="BB23">
            <v>9.61</v>
          </cell>
          <cell r="BC23">
            <v>1.63</v>
          </cell>
        </row>
        <row r="24">
          <cell r="D24">
            <v>2013.5</v>
          </cell>
          <cell r="G24">
            <v>19.301602634753223</v>
          </cell>
          <cell r="BA24">
            <v>2016.56830601</v>
          </cell>
          <cell r="BB24">
            <v>8.92</v>
          </cell>
          <cell r="BC24">
            <v>1.6</v>
          </cell>
        </row>
        <row r="25">
          <cell r="D25">
            <v>2012.5</v>
          </cell>
          <cell r="G25">
            <v>14.742772069062715</v>
          </cell>
          <cell r="BA25">
            <v>2016.6065573799999</v>
          </cell>
          <cell r="BB25">
            <v>9.6300000000000008</v>
          </cell>
          <cell r="BC25">
            <v>1.45</v>
          </cell>
        </row>
        <row r="26">
          <cell r="BA26">
            <v>2016.6557376999999</v>
          </cell>
          <cell r="BB26">
            <v>9.6300000000000008</v>
          </cell>
          <cell r="BC26">
            <v>1.82</v>
          </cell>
        </row>
        <row r="27">
          <cell r="BA27">
            <v>2016.68306011</v>
          </cell>
          <cell r="BB27">
            <v>10.7</v>
          </cell>
          <cell r="BC27">
            <v>1.7</v>
          </cell>
        </row>
        <row r="28">
          <cell r="BA28">
            <v>2016.7213114799999</v>
          </cell>
          <cell r="BB28">
            <v>6.14</v>
          </cell>
          <cell r="BC28">
            <v>1.32</v>
          </cell>
        </row>
        <row r="29">
          <cell r="BA29">
            <v>2016.7595628399999</v>
          </cell>
          <cell r="BB29">
            <v>5.0599999999999996</v>
          </cell>
          <cell r="BC29">
            <v>1.33</v>
          </cell>
        </row>
        <row r="30">
          <cell r="D30">
            <v>2021.5</v>
          </cell>
          <cell r="G30">
            <v>-15.428862890482398</v>
          </cell>
          <cell r="BA30">
            <v>2016.7978142100001</v>
          </cell>
          <cell r="BB30">
            <v>4.97</v>
          </cell>
          <cell r="BC30">
            <v>1.32</v>
          </cell>
        </row>
        <row r="31">
          <cell r="D31">
            <v>2020.5</v>
          </cell>
          <cell r="G31">
            <v>-14.633063864069374</v>
          </cell>
          <cell r="BA31">
            <v>2016.8360655700001</v>
          </cell>
          <cell r="BB31">
            <v>2.61</v>
          </cell>
          <cell r="BC31">
            <v>1.6</v>
          </cell>
        </row>
        <row r="32">
          <cell r="D32">
            <v>2019.5</v>
          </cell>
          <cell r="G32">
            <v>-12.694932598205643</v>
          </cell>
          <cell r="BA32">
            <v>2016.87431694</v>
          </cell>
          <cell r="BB32">
            <v>2.09</v>
          </cell>
          <cell r="BC32">
            <v>1.52</v>
          </cell>
        </row>
        <row r="33">
          <cell r="D33">
            <v>2018.5</v>
          </cell>
          <cell r="G33">
            <v>-8.6932299581866666</v>
          </cell>
          <cell r="BA33">
            <v>2016.9125683100001</v>
          </cell>
          <cell r="BB33">
            <v>-2.8</v>
          </cell>
          <cell r="BC33">
            <v>2.4700000000000002</v>
          </cell>
        </row>
        <row r="34">
          <cell r="D34">
            <v>2017.5</v>
          </cell>
          <cell r="G34">
            <v>-5.7878867797812594</v>
          </cell>
          <cell r="BA34">
            <v>2016.9508196700001</v>
          </cell>
          <cell r="BB34">
            <v>4.3600000000000003</v>
          </cell>
          <cell r="BC34">
            <v>1.65</v>
          </cell>
        </row>
        <row r="35">
          <cell r="D35">
            <v>2016.5</v>
          </cell>
          <cell r="G35">
            <v>-0.62571921601195513</v>
          </cell>
          <cell r="BA35">
            <v>2016.98907104</v>
          </cell>
          <cell r="BB35">
            <v>1.21</v>
          </cell>
          <cell r="BC35">
            <v>1.38</v>
          </cell>
        </row>
        <row r="36">
          <cell r="D36">
            <v>2015.5</v>
          </cell>
          <cell r="G36">
            <v>5.3557849011263148</v>
          </cell>
          <cell r="BA36">
            <v>2017.02739726</v>
          </cell>
          <cell r="BB36">
            <v>-5.52</v>
          </cell>
          <cell r="BC36">
            <v>1.65</v>
          </cell>
        </row>
        <row r="37">
          <cell r="D37">
            <v>2014.5</v>
          </cell>
          <cell r="G37">
            <v>10.355831485505229</v>
          </cell>
          <cell r="BA37">
            <v>2017.06575342</v>
          </cell>
          <cell r="BB37">
            <v>1.41</v>
          </cell>
          <cell r="BC37">
            <v>2.38</v>
          </cell>
        </row>
        <row r="38">
          <cell r="D38">
            <v>2013.5</v>
          </cell>
          <cell r="G38">
            <v>23.361104086422337</v>
          </cell>
          <cell r="BA38">
            <v>2017.10410959</v>
          </cell>
          <cell r="BB38">
            <v>3.02</v>
          </cell>
          <cell r="BC38">
            <v>1.39</v>
          </cell>
        </row>
        <row r="39">
          <cell r="D39">
            <v>2012.5</v>
          </cell>
          <cell r="G39">
            <v>11.895201280981205</v>
          </cell>
          <cell r="BA39">
            <v>2017.1424657499999</v>
          </cell>
          <cell r="BB39">
            <v>5.76</v>
          </cell>
          <cell r="BC39">
            <v>1.36</v>
          </cell>
        </row>
        <row r="40">
          <cell r="BA40">
            <v>2017.18082192</v>
          </cell>
          <cell r="BB40">
            <v>3.38</v>
          </cell>
          <cell r="BC40">
            <v>1.5</v>
          </cell>
        </row>
        <row r="41">
          <cell r="BA41">
            <v>2017.2191780799999</v>
          </cell>
          <cell r="BB41">
            <v>-0.01</v>
          </cell>
          <cell r="BC41">
            <v>1.61</v>
          </cell>
        </row>
        <row r="42">
          <cell r="F42">
            <v>2021</v>
          </cell>
          <cell r="G42">
            <v>-15.440146346537787</v>
          </cell>
          <cell r="H42">
            <v>2.5</v>
          </cell>
          <cell r="P42" t="str">
            <v>DD14C (HUN-Dp)</v>
          </cell>
          <cell r="Q42" t="str">
            <v>DD14C (HUN-Budaörsi út)</v>
          </cell>
          <cell r="R42" t="str">
            <v>DD14C (HUN-DEB)</v>
          </cell>
          <cell r="BA42">
            <v>2017.2575342499999</v>
          </cell>
          <cell r="BB42">
            <v>3.44</v>
          </cell>
          <cell r="BC42">
            <v>1.41</v>
          </cell>
        </row>
        <row r="43">
          <cell r="F43">
            <v>2020</v>
          </cell>
          <cell r="G43">
            <v>-15.002653163791402</v>
          </cell>
          <cell r="H43">
            <v>2.5</v>
          </cell>
          <cell r="I43">
            <v>-24.960569523143516</v>
          </cell>
          <cell r="J43">
            <v>2.5</v>
          </cell>
          <cell r="M43">
            <v>2020</v>
          </cell>
          <cell r="P43">
            <v>19.527188100523894</v>
          </cell>
          <cell r="Q43">
            <v>9.5692717411717823</v>
          </cell>
          <cell r="R43">
            <v>3.2070506917041266</v>
          </cell>
          <cell r="BA43">
            <v>2017.2958904100001</v>
          </cell>
          <cell r="BB43">
            <v>0.27</v>
          </cell>
          <cell r="BC43">
            <v>1.71</v>
          </cell>
        </row>
        <row r="44">
          <cell r="F44">
            <v>2019</v>
          </cell>
          <cell r="G44">
            <v>-12.084315808301104</v>
          </cell>
          <cell r="H44">
            <v>2.5</v>
          </cell>
          <cell r="I44">
            <v>-13.516624257546351</v>
          </cell>
          <cell r="J44">
            <v>2.5</v>
          </cell>
          <cell r="M44">
            <v>2019</v>
          </cell>
          <cell r="P44">
            <v>7.5536723261248611</v>
          </cell>
          <cell r="Q44">
            <v>6.1213638768796148</v>
          </cell>
          <cell r="R44">
            <v>-2.3234279651376255</v>
          </cell>
          <cell r="BA44">
            <v>2017.3315068500001</v>
          </cell>
          <cell r="BB44">
            <v>5.19</v>
          </cell>
          <cell r="BC44">
            <v>1.51</v>
          </cell>
        </row>
        <row r="45">
          <cell r="F45">
            <v>2018</v>
          </cell>
          <cell r="G45">
            <v>-8.4514136279043583</v>
          </cell>
          <cell r="H45">
            <v>2.5</v>
          </cell>
          <cell r="I45">
            <v>-3.0483943506025013</v>
          </cell>
          <cell r="J45">
            <v>2.5</v>
          </cell>
          <cell r="M45">
            <v>2018</v>
          </cell>
          <cell r="P45">
            <v>4.8252709281470523</v>
          </cell>
          <cell r="Q45">
            <v>10.228290205448909</v>
          </cell>
          <cell r="R45">
            <v>2.55765924849638</v>
          </cell>
          <cell r="BA45">
            <v>2017.37260274</v>
          </cell>
          <cell r="BB45">
            <v>4.1900000000000004</v>
          </cell>
          <cell r="BC45">
            <v>1.63</v>
          </cell>
        </row>
        <row r="46">
          <cell r="F46">
            <v>2017</v>
          </cell>
          <cell r="G46">
            <v>-1.4040775454846055</v>
          </cell>
          <cell r="H46">
            <v>2.5</v>
          </cell>
          <cell r="I46">
            <v>-1.2524483973967993</v>
          </cell>
          <cell r="J46">
            <v>2.5</v>
          </cell>
          <cell r="M46">
            <v>2017</v>
          </cell>
          <cell r="P46">
            <v>11.123254303069819</v>
          </cell>
          <cell r="Q46">
            <v>11.274883451157626</v>
          </cell>
          <cell r="R46">
            <v>5.7132857751781572</v>
          </cell>
          <cell r="BA46">
            <v>2017.4109589</v>
          </cell>
          <cell r="BB46">
            <v>9.5</v>
          </cell>
          <cell r="BC46">
            <v>1.24</v>
          </cell>
        </row>
        <row r="47">
          <cell r="F47">
            <v>2016</v>
          </cell>
          <cell r="G47">
            <v>-1.2530922681599499</v>
          </cell>
          <cell r="H47">
            <v>2.5</v>
          </cell>
          <cell r="I47">
            <v>4.9022747190612392</v>
          </cell>
          <cell r="J47">
            <v>2.5</v>
          </cell>
          <cell r="M47">
            <v>2016</v>
          </cell>
          <cell r="P47">
            <v>1.8287050090971535</v>
          </cell>
          <cell r="Q47">
            <v>7.9840719963183426</v>
          </cell>
          <cell r="R47">
            <v>1.0868736466641549</v>
          </cell>
          <cell r="BA47">
            <v>2017.4630136999999</v>
          </cell>
          <cell r="BB47">
            <v>9.35</v>
          </cell>
          <cell r="BC47">
            <v>1.8</v>
          </cell>
        </row>
        <row r="48">
          <cell r="F48">
            <v>2015</v>
          </cell>
          <cell r="G48">
            <v>4.9417971476615197</v>
          </cell>
          <cell r="H48">
            <v>2.5</v>
          </cell>
          <cell r="I48">
            <v>7.4992644718432366</v>
          </cell>
          <cell r="J48">
            <v>2.5</v>
          </cell>
          <cell r="M48">
            <v>2015</v>
          </cell>
          <cell r="P48">
            <v>5.9876229482014303</v>
          </cell>
          <cell r="Q48">
            <v>8.5450902723831472</v>
          </cell>
          <cell r="R48">
            <v>1.7163431920477183</v>
          </cell>
          <cell r="BA48">
            <v>2017.49041096</v>
          </cell>
          <cell r="BB48">
            <v>12.27</v>
          </cell>
          <cell r="BC48">
            <v>1.58</v>
          </cell>
        </row>
        <row r="49">
          <cell r="F49">
            <v>2014</v>
          </cell>
          <cell r="G49">
            <v>12.916324200546004</v>
          </cell>
          <cell r="H49">
            <v>2.5</v>
          </cell>
          <cell r="I49">
            <v>15.057655380877776</v>
          </cell>
          <cell r="J49">
            <v>2.5</v>
          </cell>
          <cell r="M49">
            <v>2014</v>
          </cell>
          <cell r="P49">
            <v>0.63065576295140424</v>
          </cell>
          <cell r="Q49">
            <v>2.7719869432831761</v>
          </cell>
          <cell r="R49">
            <v>-0.76606980205051833</v>
          </cell>
          <cell r="BA49">
            <v>2017.5260274</v>
          </cell>
          <cell r="BB49">
            <v>8.33</v>
          </cell>
          <cell r="BC49">
            <v>1.44</v>
          </cell>
        </row>
        <row r="50">
          <cell r="F50">
            <v>2013</v>
          </cell>
          <cell r="G50">
            <v>21.33135336058778</v>
          </cell>
          <cell r="H50">
            <v>2.5</v>
          </cell>
          <cell r="I50">
            <v>28.180916312505744</v>
          </cell>
          <cell r="J50">
            <v>2.5</v>
          </cell>
          <cell r="BA50">
            <v>2017.5643835599999</v>
          </cell>
          <cell r="BB50">
            <v>12.06</v>
          </cell>
          <cell r="BC50">
            <v>1.79</v>
          </cell>
        </row>
        <row r="51">
          <cell r="F51">
            <v>2012</v>
          </cell>
          <cell r="G51">
            <v>13.318986675021961</v>
          </cell>
          <cell r="H51">
            <v>2.5</v>
          </cell>
          <cell r="BA51">
            <v>2017.6027397299999</v>
          </cell>
          <cell r="BB51">
            <v>4.18</v>
          </cell>
          <cell r="BC51">
            <v>1.71</v>
          </cell>
        </row>
        <row r="52">
          <cell r="BA52">
            <v>2017.6410958900001</v>
          </cell>
          <cell r="BB52">
            <v>9.1999999999999993</v>
          </cell>
          <cell r="BC52">
            <v>1.63</v>
          </cell>
        </row>
        <row r="53">
          <cell r="BA53">
            <v>2017.67945205</v>
          </cell>
          <cell r="BB53">
            <v>7.53</v>
          </cell>
          <cell r="BC53">
            <v>1.31</v>
          </cell>
        </row>
        <row r="54">
          <cell r="BA54">
            <v>2017.7178082200001</v>
          </cell>
          <cell r="BB54">
            <v>3.19</v>
          </cell>
          <cell r="BC54">
            <v>1.88</v>
          </cell>
        </row>
        <row r="55">
          <cell r="BA55">
            <v>2017.75616438</v>
          </cell>
          <cell r="BB55">
            <v>5.61</v>
          </cell>
          <cell r="BC55">
            <v>1.65</v>
          </cell>
        </row>
        <row r="56">
          <cell r="BA56">
            <v>2017.7972602699999</v>
          </cell>
          <cell r="BB56">
            <v>-5.08</v>
          </cell>
          <cell r="BC56">
            <v>1.56</v>
          </cell>
        </row>
        <row r="57">
          <cell r="BA57">
            <v>2017.8328767099999</v>
          </cell>
          <cell r="BB57">
            <v>-0.24</v>
          </cell>
          <cell r="BC57">
            <v>1.58</v>
          </cell>
        </row>
        <row r="58">
          <cell r="BA58">
            <v>2017.87123288</v>
          </cell>
          <cell r="BB58">
            <v>7.67</v>
          </cell>
          <cell r="BC58">
            <v>1.6</v>
          </cell>
        </row>
        <row r="59">
          <cell r="BA59">
            <v>2017.9095890399999</v>
          </cell>
          <cell r="BB59">
            <v>0.3</v>
          </cell>
          <cell r="BC59">
            <v>1.98</v>
          </cell>
        </row>
        <row r="60">
          <cell r="BA60">
            <v>2017.9479452099999</v>
          </cell>
          <cell r="BB60">
            <v>7.05</v>
          </cell>
          <cell r="BC60">
            <v>1.58</v>
          </cell>
        </row>
        <row r="61">
          <cell r="BA61">
            <v>2017.9863013700001</v>
          </cell>
          <cell r="BB61">
            <v>1.51</v>
          </cell>
          <cell r="BC61">
            <v>1.67</v>
          </cell>
        </row>
        <row r="62">
          <cell r="BA62">
            <v>2018.02465753</v>
          </cell>
          <cell r="BB62">
            <v>0.68</v>
          </cell>
          <cell r="BC62">
            <v>1.5</v>
          </cell>
        </row>
        <row r="63">
          <cell r="BA63">
            <v>2018.0630137000001</v>
          </cell>
          <cell r="BB63">
            <v>0.89</v>
          </cell>
          <cell r="BC63">
            <v>1.86</v>
          </cell>
        </row>
        <row r="64">
          <cell r="BA64">
            <v>2018.10136986</v>
          </cell>
          <cell r="BB64">
            <v>-5.7</v>
          </cell>
          <cell r="BC64">
            <v>1.61</v>
          </cell>
        </row>
        <row r="65">
          <cell r="BA65">
            <v>2018.13972603</v>
          </cell>
          <cell r="BB65">
            <v>-5.2</v>
          </cell>
          <cell r="BC65">
            <v>1.28</v>
          </cell>
        </row>
        <row r="66">
          <cell r="BA66">
            <v>2018.1780821899999</v>
          </cell>
          <cell r="BB66">
            <v>13.95</v>
          </cell>
          <cell r="BC66">
            <v>1.26</v>
          </cell>
        </row>
        <row r="67">
          <cell r="BA67">
            <v>2018.21643836</v>
          </cell>
          <cell r="BB67">
            <v>-0.68</v>
          </cell>
          <cell r="BC67">
            <v>1.3</v>
          </cell>
        </row>
        <row r="68">
          <cell r="BA68">
            <v>2018.2547945199999</v>
          </cell>
          <cell r="BB68">
            <v>-1.27</v>
          </cell>
          <cell r="BC68">
            <v>1.26</v>
          </cell>
        </row>
        <row r="69">
          <cell r="BA69">
            <v>2018.2931506800001</v>
          </cell>
          <cell r="BB69">
            <v>0.96</v>
          </cell>
          <cell r="BC69">
            <v>1.1100000000000001</v>
          </cell>
        </row>
        <row r="70">
          <cell r="BA70">
            <v>2018.3315068500001</v>
          </cell>
          <cell r="BB70">
            <v>-2.0099999999999998</v>
          </cell>
          <cell r="BC70">
            <v>1.39</v>
          </cell>
        </row>
        <row r="71">
          <cell r="BA71">
            <v>2018.36986301</v>
          </cell>
          <cell r="BB71">
            <v>2.46</v>
          </cell>
          <cell r="BC71">
            <v>1.43</v>
          </cell>
        </row>
        <row r="72">
          <cell r="BA72">
            <v>2018.4082191800001</v>
          </cell>
          <cell r="BB72">
            <v>-3.55</v>
          </cell>
          <cell r="BC72">
            <v>2</v>
          </cell>
        </row>
        <row r="73">
          <cell r="BA73">
            <v>2018.44657534</v>
          </cell>
          <cell r="BB73">
            <v>1.26</v>
          </cell>
          <cell r="BC73">
            <v>1.62</v>
          </cell>
        </row>
        <row r="74">
          <cell r="BA74">
            <v>2018.48493151</v>
          </cell>
          <cell r="BB74">
            <v>4.28</v>
          </cell>
          <cell r="BC74">
            <v>1.75</v>
          </cell>
        </row>
        <row r="75">
          <cell r="BA75">
            <v>2018.5232876699999</v>
          </cell>
          <cell r="BB75">
            <v>0.38</v>
          </cell>
          <cell r="BC75">
            <v>1.28</v>
          </cell>
        </row>
        <row r="76">
          <cell r="BA76">
            <v>2018.56164384</v>
          </cell>
          <cell r="BB76">
            <v>0.76</v>
          </cell>
          <cell r="BC76">
            <v>1.21</v>
          </cell>
        </row>
        <row r="77">
          <cell r="BA77">
            <v>2018.6</v>
          </cell>
          <cell r="BB77">
            <v>2.0299999999999998</v>
          </cell>
          <cell r="BC77">
            <v>1.6</v>
          </cell>
        </row>
        <row r="78">
          <cell r="BA78">
            <v>2018.6383561600001</v>
          </cell>
          <cell r="BB78">
            <v>-0.26</v>
          </cell>
          <cell r="BC78">
            <v>1.6</v>
          </cell>
        </row>
        <row r="79">
          <cell r="BA79">
            <v>2018.6767123300001</v>
          </cell>
          <cell r="BB79">
            <v>-0.99</v>
          </cell>
          <cell r="BC79">
            <v>1.99</v>
          </cell>
        </row>
        <row r="80">
          <cell r="BA80">
            <v>2018.71506849</v>
          </cell>
          <cell r="BB80">
            <v>-1.74</v>
          </cell>
          <cell r="BC80">
            <v>2.41</v>
          </cell>
        </row>
        <row r="81">
          <cell r="BA81">
            <v>2018.75616438</v>
          </cell>
          <cell r="BB81">
            <v>2.94</v>
          </cell>
          <cell r="BC81">
            <v>1.43</v>
          </cell>
        </row>
        <row r="82">
          <cell r="BA82">
            <v>2018.7928158300001</v>
          </cell>
          <cell r="BB82">
            <v>0.49</v>
          </cell>
          <cell r="BC82">
            <v>1.48</v>
          </cell>
        </row>
        <row r="83">
          <cell r="BA83">
            <v>2018.83137747</v>
          </cell>
          <cell r="BB83">
            <v>-4.2300000000000004</v>
          </cell>
          <cell r="BC83">
            <v>1.54</v>
          </cell>
        </row>
        <row r="84">
          <cell r="BA84">
            <v>2018.8699676599999</v>
          </cell>
          <cell r="BB84">
            <v>-5.93</v>
          </cell>
          <cell r="BC84">
            <v>1.61</v>
          </cell>
        </row>
        <row r="85">
          <cell r="BA85">
            <v>2018.90804224</v>
          </cell>
          <cell r="BB85">
            <v>0.77</v>
          </cell>
          <cell r="BC85">
            <v>1.58</v>
          </cell>
        </row>
        <row r="86">
          <cell r="BA86">
            <v>2018.94641172</v>
          </cell>
          <cell r="BB86">
            <v>-0.11</v>
          </cell>
          <cell r="BC86">
            <v>1.75</v>
          </cell>
        </row>
        <row r="87">
          <cell r="BA87">
            <v>2018.9875114199999</v>
          </cell>
          <cell r="BB87">
            <v>0.13</v>
          </cell>
          <cell r="BC87">
            <v>2.04</v>
          </cell>
        </row>
        <row r="88">
          <cell r="BA88">
            <v>2019.02312024</v>
          </cell>
          <cell r="BB88">
            <v>-3.57</v>
          </cell>
          <cell r="BC88">
            <v>1.28</v>
          </cell>
        </row>
        <row r="89">
          <cell r="BA89">
            <v>2019.0617770199999</v>
          </cell>
          <cell r="BB89">
            <v>-2.69</v>
          </cell>
          <cell r="BC89">
            <v>1.41</v>
          </cell>
        </row>
        <row r="90">
          <cell r="BA90">
            <v>2019.09984399</v>
          </cell>
          <cell r="BB90">
            <v>-3.9</v>
          </cell>
          <cell r="BC90">
            <v>1.6</v>
          </cell>
        </row>
        <row r="91">
          <cell r="BA91">
            <v>2019.1379433</v>
          </cell>
          <cell r="BB91">
            <v>-3.18</v>
          </cell>
          <cell r="BC91">
            <v>1.9</v>
          </cell>
        </row>
        <row r="92">
          <cell r="BA92">
            <v>2019.1765639299999</v>
          </cell>
          <cell r="BB92">
            <v>-3.63</v>
          </cell>
          <cell r="BC92">
            <v>1.95</v>
          </cell>
        </row>
        <row r="93">
          <cell r="BA93">
            <v>2019.21519216</v>
          </cell>
          <cell r="BB93">
            <v>-10.77</v>
          </cell>
          <cell r="BC93">
            <v>1.3</v>
          </cell>
        </row>
        <row r="94">
          <cell r="BA94">
            <v>2019.25311263</v>
          </cell>
          <cell r="BB94">
            <v>-3.75</v>
          </cell>
          <cell r="BC94">
            <v>1.84</v>
          </cell>
        </row>
        <row r="95">
          <cell r="BA95">
            <v>2019.2914802099999</v>
          </cell>
          <cell r="BB95">
            <v>3.28</v>
          </cell>
          <cell r="BC95">
            <v>1.85</v>
          </cell>
        </row>
        <row r="96">
          <cell r="BA96">
            <v>2019.3274429200001</v>
          </cell>
          <cell r="BB96">
            <v>0.49</v>
          </cell>
          <cell r="BC96">
            <v>1.64</v>
          </cell>
        </row>
        <row r="97">
          <cell r="BA97">
            <v>2019.3682343999999</v>
          </cell>
          <cell r="BB97">
            <v>-6.52</v>
          </cell>
          <cell r="BC97">
            <v>1.26</v>
          </cell>
        </row>
        <row r="98">
          <cell r="BA98">
            <v>2019.40659056</v>
          </cell>
          <cell r="BB98">
            <v>-2.09</v>
          </cell>
          <cell r="BC98">
            <v>1.51</v>
          </cell>
        </row>
        <row r="99">
          <cell r="BA99">
            <v>2019.4452302100001</v>
          </cell>
          <cell r="BB99">
            <v>-2.37</v>
          </cell>
          <cell r="BC99">
            <v>1.52</v>
          </cell>
        </row>
        <row r="100">
          <cell r="BA100">
            <v>2019.4832743500001</v>
          </cell>
          <cell r="BB100">
            <v>-2.81</v>
          </cell>
          <cell r="BC100">
            <v>1.65</v>
          </cell>
        </row>
        <row r="101">
          <cell r="BA101">
            <v>2019.5216229099999</v>
          </cell>
          <cell r="BB101">
            <v>-2.37</v>
          </cell>
          <cell r="BC101">
            <v>1.53</v>
          </cell>
        </row>
        <row r="102">
          <cell r="BA102">
            <v>2019.5600095100001</v>
          </cell>
          <cell r="BB102">
            <v>-2.31</v>
          </cell>
          <cell r="BC102">
            <v>1.1399999999999999</v>
          </cell>
        </row>
        <row r="103">
          <cell r="BA103">
            <v>2019.5982705500001</v>
          </cell>
          <cell r="BB103">
            <v>-2.02</v>
          </cell>
          <cell r="BC103">
            <v>1.49</v>
          </cell>
        </row>
        <row r="104">
          <cell r="BA104">
            <v>2019.63652968</v>
          </cell>
          <cell r="BB104">
            <v>-3.21</v>
          </cell>
          <cell r="BC104">
            <v>1.64</v>
          </cell>
        </row>
        <row r="105">
          <cell r="BA105">
            <v>2019.67505327</v>
          </cell>
          <cell r="BB105">
            <v>-3.9</v>
          </cell>
          <cell r="BC105">
            <v>1.56</v>
          </cell>
        </row>
        <row r="106">
          <cell r="BA106">
            <v>2019.71506849</v>
          </cell>
          <cell r="BB106">
            <v>-1.79</v>
          </cell>
          <cell r="BC106">
            <v>1.59</v>
          </cell>
        </row>
        <row r="107">
          <cell r="BA107">
            <v>2019.7520338700001</v>
          </cell>
          <cell r="BB107">
            <v>-2.73</v>
          </cell>
          <cell r="BC107">
            <v>1.66</v>
          </cell>
        </row>
        <row r="108">
          <cell r="BA108">
            <v>2019.79010464</v>
          </cell>
          <cell r="BB108">
            <v>-3.01</v>
          </cell>
          <cell r="BC108">
            <v>1.79</v>
          </cell>
        </row>
        <row r="109">
          <cell r="BA109">
            <v>2019.8285692500001</v>
          </cell>
          <cell r="BB109">
            <v>0.51</v>
          </cell>
          <cell r="BC109">
            <v>1.86</v>
          </cell>
        </row>
        <row r="110">
          <cell r="BA110">
            <v>2019.86732306</v>
          </cell>
          <cell r="BB110">
            <v>-5.14</v>
          </cell>
          <cell r="BC110">
            <v>1.43</v>
          </cell>
        </row>
        <row r="111">
          <cell r="BA111">
            <v>2019.9057344</v>
          </cell>
          <cell r="BB111">
            <v>-0.36</v>
          </cell>
          <cell r="BC111">
            <v>1.83</v>
          </cell>
        </row>
        <row r="112">
          <cell r="BA112">
            <v>2019.9466971100001</v>
          </cell>
          <cell r="BB112">
            <v>-1.18</v>
          </cell>
          <cell r="BC112">
            <v>1.53</v>
          </cell>
        </row>
        <row r="113">
          <cell r="BA113">
            <v>2019.9873002300001</v>
          </cell>
          <cell r="BB113">
            <v>-4.55</v>
          </cell>
          <cell r="BC113">
            <v>1.47</v>
          </cell>
        </row>
        <row r="114">
          <cell r="BA114">
            <v>2020.05882286</v>
          </cell>
          <cell r="BB114">
            <v>-6.57</v>
          </cell>
          <cell r="BC114">
            <v>1.64</v>
          </cell>
        </row>
        <row r="115">
          <cell r="BA115">
            <v>2020.0968161799999</v>
          </cell>
          <cell r="BB115">
            <v>-3.82</v>
          </cell>
          <cell r="BC115">
            <v>1.5</v>
          </cell>
        </row>
        <row r="116">
          <cell r="BA116">
            <v>2020.1349499099999</v>
          </cell>
          <cell r="BB116">
            <v>-5.25</v>
          </cell>
          <cell r="BC116">
            <v>1.47</v>
          </cell>
        </row>
        <row r="117">
          <cell r="BA117">
            <v>2020.1731121</v>
          </cell>
          <cell r="BB117">
            <v>-5.0199999999999996</v>
          </cell>
          <cell r="BC117">
            <v>1.65</v>
          </cell>
        </row>
        <row r="118">
          <cell r="BA118">
            <v>2020.2497419599999</v>
          </cell>
          <cell r="BB118">
            <v>-6.04</v>
          </cell>
          <cell r="BC118">
            <v>1.36</v>
          </cell>
        </row>
        <row r="119">
          <cell r="BA119">
            <v>2020.3261611999999</v>
          </cell>
          <cell r="BB119">
            <v>-6.94</v>
          </cell>
          <cell r="BC119">
            <v>1.51</v>
          </cell>
        </row>
        <row r="120">
          <cell r="BA120">
            <v>2020.4029011099999</v>
          </cell>
          <cell r="BB120">
            <v>-1.64</v>
          </cell>
          <cell r="BC120">
            <v>1.1299999999999999</v>
          </cell>
        </row>
        <row r="121">
          <cell r="BA121">
            <v>2020.47919892</v>
          </cell>
          <cell r="BB121">
            <v>-2.33</v>
          </cell>
          <cell r="BC121">
            <v>1.65</v>
          </cell>
        </row>
        <row r="122">
          <cell r="BA122">
            <v>2020.5174996200001</v>
          </cell>
          <cell r="BB122">
            <v>-0.6</v>
          </cell>
          <cell r="BC122">
            <v>1.68</v>
          </cell>
        </row>
        <row r="123">
          <cell r="BA123">
            <v>2020.5555422699999</v>
          </cell>
          <cell r="BB123">
            <v>-1.88</v>
          </cell>
          <cell r="BC123">
            <v>1.0900000000000001</v>
          </cell>
        </row>
        <row r="124">
          <cell r="BA124">
            <v>2020.6320089599999</v>
          </cell>
          <cell r="BB124">
            <v>-2.34</v>
          </cell>
          <cell r="BC124">
            <v>1.21</v>
          </cell>
        </row>
        <row r="125">
          <cell r="BA125">
            <v>2020.7087507599999</v>
          </cell>
          <cell r="BB125">
            <v>-5.25</v>
          </cell>
          <cell r="BC125">
            <v>1.04</v>
          </cell>
        </row>
        <row r="126">
          <cell r="BA126">
            <v>2020.74673459</v>
          </cell>
          <cell r="BB126">
            <v>7.0000000000000007E-2</v>
          </cell>
          <cell r="BC126">
            <v>1.1499999999999999</v>
          </cell>
        </row>
        <row r="127">
          <cell r="BA127">
            <v>2020.82358075</v>
          </cell>
          <cell r="BB127">
            <v>-5.61</v>
          </cell>
          <cell r="BC127">
            <v>1.1000000000000001</v>
          </cell>
        </row>
        <row r="128">
          <cell r="BA128">
            <v>2020.8619364799999</v>
          </cell>
          <cell r="BB128">
            <v>-1.83</v>
          </cell>
          <cell r="BC128">
            <v>1.47</v>
          </cell>
        </row>
        <row r="129">
          <cell r="BA129">
            <v>2020.9000815899999</v>
          </cell>
          <cell r="BB129">
            <v>-10.84</v>
          </cell>
          <cell r="BC129">
            <v>1.49</v>
          </cell>
        </row>
        <row r="130">
          <cell r="BA130">
            <v>2020.97657673</v>
          </cell>
          <cell r="BB130">
            <v>-3.91</v>
          </cell>
          <cell r="BC130">
            <v>1.1200000000000001</v>
          </cell>
        </row>
        <row r="131">
          <cell r="BA131">
            <v>2021.0530156</v>
          </cell>
          <cell r="BB131">
            <v>-5.55</v>
          </cell>
          <cell r="BC131">
            <v>1.03</v>
          </cell>
        </row>
        <row r="132">
          <cell r="BA132">
            <v>2021.09186073</v>
          </cell>
          <cell r="BB132">
            <v>-8.89</v>
          </cell>
          <cell r="BC132">
            <v>1.24</v>
          </cell>
        </row>
        <row r="133">
          <cell r="BA133">
            <v>2021.1299524399999</v>
          </cell>
          <cell r="BB133">
            <v>-8.1</v>
          </cell>
          <cell r="BC133">
            <v>1.69</v>
          </cell>
        </row>
        <row r="134">
          <cell r="BA134">
            <v>2021.20941591</v>
          </cell>
          <cell r="BB134">
            <v>-8.42</v>
          </cell>
          <cell r="BC134">
            <v>1.52</v>
          </cell>
        </row>
        <row r="135">
          <cell r="BA135">
            <v>2021.3219368299999</v>
          </cell>
          <cell r="BB135">
            <v>-8.09</v>
          </cell>
          <cell r="BC135">
            <v>1.27</v>
          </cell>
        </row>
        <row r="136">
          <cell r="BA136">
            <v>2021.35971081</v>
          </cell>
          <cell r="BB136">
            <v>-5.92</v>
          </cell>
          <cell r="BC136">
            <v>1.24</v>
          </cell>
        </row>
        <row r="137">
          <cell r="BA137">
            <v>2021.4366952099999</v>
          </cell>
          <cell r="BB137">
            <v>-6.72</v>
          </cell>
          <cell r="BC137">
            <v>1.73</v>
          </cell>
        </row>
        <row r="138">
          <cell r="BA138">
            <v>2021.5133238200001</v>
          </cell>
          <cell r="BB138">
            <v>-7.61</v>
          </cell>
          <cell r="BC138">
            <v>1.54</v>
          </cell>
        </row>
        <row r="139">
          <cell r="BA139">
            <v>2021.5515886600001</v>
          </cell>
          <cell r="BB139">
            <v>-3.86</v>
          </cell>
          <cell r="BC139">
            <v>1.71</v>
          </cell>
        </row>
        <row r="140">
          <cell r="BA140">
            <v>2021.58987443</v>
          </cell>
          <cell r="BB140">
            <v>-4.6900000000000004</v>
          </cell>
          <cell r="BC140">
            <v>1.49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C525E89-564B-084E-B1CF-04F9F4B3682A}" autoFormatId="16" applyNumberFormats="0" applyBorderFormats="0" applyFontFormats="0" applyPatternFormats="0" applyAlignmentFormats="0" applyWidthHeightFormats="0">
  <queryTableRefresh nextId="29" unboundColumnsRight="17">
    <queryTableFields count="20">
      <queryTableField id="1" name="Year" tableColumnId="1"/>
      <queryTableField id="2" name="Month" tableColumnId="2"/>
      <queryTableField id="3" name="JFJ_CONC" tableColumnId="3"/>
      <queryTableField id="19" dataBound="0" tableColumnId="19"/>
      <queryTableField id="26" dataBound="0" tableColumnId="7"/>
      <queryTableField id="28" dataBound="0" tableColumnId="9"/>
      <queryTableField id="4" dataBound="0" tableColumnId="4"/>
      <queryTableField id="5" dataBound="0" tableColumnId="5"/>
      <queryTableField id="6" dataBound="0" tableColumnId="6"/>
      <queryTableField id="22" dataBound="0" tableColumnId="23"/>
      <queryTableField id="23" dataBound="0" tableColumnId="24"/>
      <queryTableField id="21" dataBound="0" tableColumnId="21"/>
      <queryTableField id="20" dataBound="0" tableColumnId="20"/>
      <queryTableField id="12" dataBound="0" tableColumnId="12"/>
      <queryTableField id="13" dataBound="0" tableColumnId="13"/>
      <queryTableField id="11" dataBound="0" tableColumnId="11"/>
      <queryTableField id="25" dataBound="0" tableColumnId="26"/>
      <queryTableField id="24" dataBound="0" tableColumnId="25"/>
      <queryTableField id="15" dataBound="0" tableColumnId="15"/>
      <queryTableField id="16" dataBound="0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20126B-F932-7240-A029-1FFC4F816B72}" name="monthly_averages" displayName="monthly_averages" ref="A2:T90" tableType="queryTable" totalsRowShown="0" headerRowDxfId="22" dataDxfId="21" tableBorderDxfId="20">
  <autoFilter ref="A2:T90" xr:uid="{9A20126B-F932-7240-A029-1FFC4F816B72}"/>
  <tableColumns count="20">
    <tableColumn id="1" xr3:uid="{99F70B69-AD73-2940-B006-FA2C545798FE}" uniqueName="1" name="Year" queryTableFieldId="1" dataDxfId="19"/>
    <tableColumn id="2" xr3:uid="{1CBB2E16-D187-364F-8FED-8282AADDADEF}" uniqueName="2" name="Month" queryTableFieldId="2" dataDxfId="18"/>
    <tableColumn id="3" xr3:uid="{9FF716A7-1FD8-4C46-AE2F-331B8DDD21BF}" uniqueName="3" name="D14CrefBG (JFJ)" queryTableFieldId="3" dataDxfId="17" dataCellStyle="Neutral"/>
    <tableColumn id="19" xr3:uid="{F980A28E-329D-434F-BD43-06E99336EEFE}" uniqueName="19" name="Cbg (JFJ)" queryTableFieldId="19" dataDxfId="16" dataCellStyle="Neutral"/>
    <tableColumn id="7" xr3:uid="{81313513-AB17-E542-946E-84FC48CA478D}" uniqueName="7" name="Detrended D14CrefBG (JFJ)" queryTableFieldId="26" dataDxfId="15"/>
    <tableColumn id="9" xr3:uid="{BF1A2365-F806-4242-9B75-02BF3D5406AB}" uniqueName="9" name="Detrended Cbg (JFJ)" queryTableFieldId="28" dataDxfId="14" dataCellStyle="Neutral"/>
    <tableColumn id="4" xr3:uid="{957CA349-29DC-A543-87FD-96FAB775D37C}" uniqueName="4" name="D14Ccity (115m)" queryTableFieldId="4" dataDxfId="13" dataCellStyle="Good"/>
    <tableColumn id="5" xr3:uid="{D8A61A59-088E-484E-8C61-76503EAE44E7}" uniqueName="5" name="CO2City (115m)" queryTableFieldId="5" dataDxfId="12" dataCellStyle="Good"/>
    <tableColumn id="6" xr3:uid="{6072CD4D-1741-D343-A0E1-B3CD2B119F39}" uniqueName="6" name="CO2ff (115m)" queryTableFieldId="6" dataDxfId="11" dataCellStyle="Good">
      <calculatedColumnFormula>monthly_averages[[#This Row],[CO2City (115m)]]*((monthly_averages[[#This Row],[D14CrefBG (JFJ)]]-monthly_averages[[#This Row],[D14Ccity (115m)]])/(monthly_averages[[#This Row],[D14CrefBG (JFJ)]]+1000))</calculatedColumnFormula>
    </tableColumn>
    <tableColumn id="23" xr3:uid="{A5F4C343-14E8-7040-8E9B-0B2B22216A43}" uniqueName="23" name="Detrended D14Ccity (115m)" queryTableFieldId="22" dataDxfId="10" dataCellStyle="Good"/>
    <tableColumn id="24" xr3:uid="{C555F7EB-F530-2943-8B70-54A19E05880A}" uniqueName="24" name="Detrended CO2City (115m)" queryTableFieldId="23" dataDxfId="9" dataCellStyle="Good"/>
    <tableColumn id="21" xr3:uid="{FCD9B88A-42D3-334E-B136-B919E7B505B7}" uniqueName="21" name="dC (115 m)" queryTableFieldId="21" dataDxfId="8" dataCellStyle="Neutral"/>
    <tableColumn id="20" xr3:uid="{019BAC8A-8CE2-8B49-BE29-E97D68C89BED}" uniqueName="20" name="Cmod (115 m) " queryTableFieldId="20" dataDxfId="7" dataCellStyle="Neutral">
      <calculatedColumnFormula>monthly_averages[[#This Row],[dC (115 m)]]-monthly_averages[[#This Row],[CO2ff (115m)]]</calculatedColumnFormula>
    </tableColumn>
    <tableColumn id="12" xr3:uid="{439CFC08-9097-164E-A139-31DAE453723B}" uniqueName="12" name="D14Ccity (10m)" queryTableFieldId="12" dataDxfId="6" dataCellStyle="Good"/>
    <tableColumn id="13" xr3:uid="{9E480268-6121-7444-8541-929AE3920C45}" uniqueName="13" name="CO2 (10m)2" queryTableFieldId="13" dataDxfId="5" dataCellStyle="Good"/>
    <tableColumn id="11" xr3:uid="{1D616AAE-C5DE-0D43-AAF0-DCC4E7C69F10}" uniqueName="11" name="CO2ff (10m)" queryTableFieldId="11" dataDxfId="4" dataCellStyle="Good">
      <calculatedColumnFormula>monthly_averages[[#This Row],[CO2 (10m)2]]*((monthly_averages[[#This Row],[D14CrefBG (JFJ)]]-monthly_averages[[#This Row],[D14Ccity (10m)]])/(monthly_averages[[#This Row],[D14CrefBG (JFJ)]]+1000))</calculatedColumnFormula>
    </tableColumn>
    <tableColumn id="26" xr3:uid="{3498E245-5376-7B49-A765-C0D46446B4A3}" uniqueName="26" name="Detrended D14Ccity (10m)2" queryTableFieldId="25" dataDxfId="3" dataCellStyle="Good"/>
    <tableColumn id="25" xr3:uid="{A9319D03-AB60-D04A-8282-08E641C1582A}" uniqueName="25" name="Detrended CO2City (10m)3" queryTableFieldId="24" dataDxfId="2" dataCellStyle="Good"/>
    <tableColumn id="15" xr3:uid="{4247A85F-E470-3F40-85B0-86F0D1202ED7}" uniqueName="15" name="dC(10 m)" queryTableFieldId="15" dataDxfId="1">
      <calculatedColumnFormula>monthly_averages[[#This Row],[CO2 (10m)2]]-#REF!</calculatedColumnFormula>
    </tableColumn>
    <tableColumn id="16" xr3:uid="{113325D3-FD85-4449-99B2-CF98DEFF08AF}" uniqueName="16" name="Cmod (10 m)" queryTableFieldId="16" dataDxfId="0">
      <calculatedColumnFormula>monthly_averages[[#This Row],[dC(10 m)]]-monthly_averages[[#This Row],[CO2ff (10m)]]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32563-8645-7741-8D29-77EECBC2E3B9}">
  <dimension ref="A1:G76"/>
  <sheetViews>
    <sheetView workbookViewId="0">
      <selection activeCell="I13" sqref="I13"/>
    </sheetView>
  </sheetViews>
  <sheetFormatPr baseColWidth="10" defaultRowHeight="16"/>
  <cols>
    <col min="6" max="6" width="13.1640625" bestFit="1" customWidth="1"/>
  </cols>
  <sheetData>
    <row r="1" spans="1:7">
      <c r="A1" s="11" t="s">
        <v>55</v>
      </c>
      <c r="B1" s="11" t="s">
        <v>56</v>
      </c>
      <c r="C1" s="11" t="s">
        <v>134</v>
      </c>
      <c r="D1" s="12" t="s">
        <v>57</v>
      </c>
      <c r="E1" s="11" t="s">
        <v>134</v>
      </c>
      <c r="F1" s="12" t="s">
        <v>135</v>
      </c>
      <c r="G1" s="11" t="s">
        <v>134</v>
      </c>
    </row>
    <row r="2" spans="1:7">
      <c r="A2" s="125" t="s">
        <v>58</v>
      </c>
      <c r="B2" s="126">
        <v>409.80799999999999</v>
      </c>
      <c r="C2" s="126">
        <v>2.03894736842105</v>
      </c>
      <c r="D2" s="126">
        <v>420.36771428571433</v>
      </c>
      <c r="E2" s="126">
        <v>4.39975438596512</v>
      </c>
      <c r="F2" s="126"/>
      <c r="G2" s="126"/>
    </row>
    <row r="3" spans="1:7">
      <c r="A3" s="125" t="s">
        <v>59</v>
      </c>
      <c r="B3" s="126">
        <v>419.05892857142857</v>
      </c>
      <c r="C3" s="126">
        <v>11.1581109530583</v>
      </c>
      <c r="D3" s="126">
        <v>423.25785714285712</v>
      </c>
      <c r="E3" s="126">
        <v>7.0863916548129398</v>
      </c>
      <c r="F3" s="126"/>
      <c r="G3" s="126"/>
    </row>
    <row r="4" spans="1:7">
      <c r="A4" s="125" t="s">
        <v>60</v>
      </c>
      <c r="B4" s="126">
        <v>414.48085714285719</v>
      </c>
      <c r="C4" s="126">
        <v>6.3772745376955804</v>
      </c>
      <c r="D4" s="126">
        <v>420.06257142857129</v>
      </c>
      <c r="E4" s="126">
        <v>3.6730289236607399</v>
      </c>
      <c r="F4" s="126">
        <v>401.36808937911655</v>
      </c>
      <c r="G4" s="126">
        <v>0.14183635690490601</v>
      </c>
    </row>
    <row r="5" spans="1:7">
      <c r="A5" s="125" t="s">
        <v>61</v>
      </c>
      <c r="B5" s="126">
        <v>413.98304687500013</v>
      </c>
      <c r="C5" s="126">
        <v>5.6964381223328502</v>
      </c>
      <c r="D5" s="126">
        <v>420.59156249999995</v>
      </c>
      <c r="E5" s="126">
        <v>3.9596661925085299</v>
      </c>
      <c r="F5" s="126">
        <v>402.65355838260746</v>
      </c>
      <c r="G5" s="126">
        <v>1.25935764531662</v>
      </c>
    </row>
    <row r="6" spans="1:7">
      <c r="A6" s="125" t="s">
        <v>62</v>
      </c>
      <c r="B6" s="126">
        <v>413.05038461538464</v>
      </c>
      <c r="C6" s="126">
        <v>4.6156017069701401</v>
      </c>
      <c r="D6" s="126">
        <v>416.03153846153845</v>
      </c>
      <c r="E6" s="126">
        <v>-0.85369653864369999</v>
      </c>
      <c r="F6" s="126">
        <v>403.96083001144666</v>
      </c>
      <c r="G6" s="126">
        <v>2.3768789337283298</v>
      </c>
    </row>
    <row r="7" spans="1:7">
      <c r="A7" s="125" t="s">
        <v>63</v>
      </c>
      <c r="B7" s="126">
        <v>410.66444444444448</v>
      </c>
      <c r="C7" s="126">
        <v>2.03476529160737</v>
      </c>
      <c r="D7" s="126">
        <v>414.51694444444445</v>
      </c>
      <c r="E7" s="126">
        <v>-2.56705926979591</v>
      </c>
      <c r="F7" s="126">
        <v>404.62699606128086</v>
      </c>
      <c r="G7" s="126">
        <v>2.7944002221400499</v>
      </c>
    </row>
    <row r="8" spans="1:7">
      <c r="A8" s="125" t="s">
        <v>64</v>
      </c>
      <c r="B8" s="126">
        <v>406.7671428571428</v>
      </c>
      <c r="C8" s="126">
        <v>-2.0460711237553402</v>
      </c>
      <c r="D8" s="126">
        <v>412.39964285714296</v>
      </c>
      <c r="E8" s="126">
        <v>-4.8804220009481396</v>
      </c>
      <c r="F8" s="126">
        <v>404.13555273057102</v>
      </c>
      <c r="G8" s="126">
        <v>2.1119215105517499</v>
      </c>
    </row>
    <row r="9" spans="1:7">
      <c r="A9" s="125" t="s">
        <v>65</v>
      </c>
      <c r="B9" s="126">
        <v>401.09857142857152</v>
      </c>
      <c r="C9" s="126">
        <v>-7.9269075391180603</v>
      </c>
      <c r="D9" s="126">
        <v>409.97892857142853</v>
      </c>
      <c r="E9" s="126">
        <v>-7.4937847321003304</v>
      </c>
      <c r="F9" s="126">
        <v>402.55931605837839</v>
      </c>
      <c r="G9" s="126">
        <v>0.429442798963448</v>
      </c>
    </row>
    <row r="10" spans="1:7">
      <c r="A10" s="125" t="s">
        <v>66</v>
      </c>
      <c r="B10" s="126">
        <v>395.79703703703711</v>
      </c>
      <c r="C10" s="126">
        <v>-13.4077439544808</v>
      </c>
      <c r="D10" s="126">
        <v>409.48962962962975</v>
      </c>
      <c r="E10" s="126">
        <v>-8.2071474632525394</v>
      </c>
      <c r="F10" s="126">
        <v>398.90061033500086</v>
      </c>
      <c r="G10" s="126">
        <v>-3.4530359126249</v>
      </c>
    </row>
    <row r="11" spans="1:7">
      <c r="A11" s="125" t="s">
        <v>67</v>
      </c>
      <c r="B11" s="126">
        <v>396.5976470588235</v>
      </c>
      <c r="C11" s="126">
        <v>-12.788580369843499</v>
      </c>
      <c r="D11" s="126">
        <v>415.05617647058818</v>
      </c>
      <c r="E11" s="126">
        <v>-2.8205101944047302</v>
      </c>
      <c r="F11" s="126">
        <v>397.76136934559776</v>
      </c>
      <c r="G11" s="126">
        <v>-4.7355146242131596</v>
      </c>
    </row>
    <row r="12" spans="1:7">
      <c r="A12" s="125" t="s">
        <v>68</v>
      </c>
      <c r="B12" s="126">
        <v>397.6966666666666</v>
      </c>
      <c r="C12" s="126">
        <v>-11.869416785206299</v>
      </c>
      <c r="D12" s="126">
        <v>412.98555555555555</v>
      </c>
      <c r="E12" s="126">
        <v>-5.1338729255569602</v>
      </c>
      <c r="F12" s="126">
        <v>394.71947091529023</v>
      </c>
      <c r="G12" s="126">
        <v>-8.0179933358014903</v>
      </c>
    </row>
    <row r="13" spans="1:7">
      <c r="A13" s="125" t="s">
        <v>69</v>
      </c>
      <c r="B13" s="126">
        <v>398.61333333333329</v>
      </c>
      <c r="C13" s="126">
        <v>-11.150253200569001</v>
      </c>
      <c r="D13" s="126">
        <v>401.79095238095243</v>
      </c>
      <c r="E13" s="126">
        <v>-16.547235656709201</v>
      </c>
      <c r="F13" s="126">
        <v>396.34093040533696</v>
      </c>
      <c r="G13" s="126">
        <v>-6.6004720473897702</v>
      </c>
    </row>
    <row r="14" spans="1:7">
      <c r="A14" s="125" t="s">
        <v>70</v>
      </c>
      <c r="B14" s="126">
        <v>413.60028571428575</v>
      </c>
      <c r="C14" s="126">
        <v>3.6689103840682802</v>
      </c>
      <c r="D14" s="126">
        <v>423.44999999999993</v>
      </c>
      <c r="E14" s="126">
        <v>4.9394016121386199</v>
      </c>
      <c r="F14" s="126">
        <v>399.64214480281436</v>
      </c>
      <c r="G14" s="126">
        <v>-3.4829507589780602</v>
      </c>
    </row>
    <row r="15" spans="1:7">
      <c r="A15" s="125" t="s">
        <v>71</v>
      </c>
      <c r="B15" s="126">
        <v>417.93357142857133</v>
      </c>
      <c r="C15" s="126">
        <v>7.7880739687055103</v>
      </c>
      <c r="D15" s="126">
        <v>429.89678571428573</v>
      </c>
      <c r="E15" s="126">
        <v>11.1260388809864</v>
      </c>
      <c r="F15" s="126">
        <v>402.77766770701675</v>
      </c>
      <c r="G15" s="126">
        <v>-0.46542947056636702</v>
      </c>
    </row>
    <row r="16" spans="1:7">
      <c r="A16" s="125" t="s">
        <v>72</v>
      </c>
      <c r="B16" s="126">
        <v>425.00200000000012</v>
      </c>
      <c r="C16" s="126">
        <v>14.7072375533428</v>
      </c>
      <c r="D16" s="126">
        <v>435.26612903225816</v>
      </c>
      <c r="E16" s="126">
        <v>16.3126761498342</v>
      </c>
      <c r="F16" s="126">
        <v>406.89299034918429</v>
      </c>
      <c r="G16" s="126">
        <v>3.4520918178453002</v>
      </c>
    </row>
    <row r="17" spans="1:7">
      <c r="A17" s="125" t="s">
        <v>73</v>
      </c>
      <c r="B17" s="126">
        <v>418.94535714285712</v>
      </c>
      <c r="C17" s="126">
        <v>8.4264011379800401</v>
      </c>
      <c r="D17" s="126">
        <v>427.2178571428571</v>
      </c>
      <c r="E17" s="126">
        <v>7.9993134186819796</v>
      </c>
      <c r="F17" s="126">
        <v>405.64402249758689</v>
      </c>
      <c r="G17" s="126">
        <v>1.9696131062570399</v>
      </c>
    </row>
    <row r="18" spans="1:7">
      <c r="A18" s="125" t="s">
        <v>74</v>
      </c>
      <c r="B18" s="126">
        <v>415.65</v>
      </c>
      <c r="C18" s="126">
        <v>5.0455647226173204</v>
      </c>
      <c r="D18" s="126">
        <v>418.00821428571436</v>
      </c>
      <c r="E18" s="126">
        <v>-1.41404931247022</v>
      </c>
      <c r="F18" s="126">
        <v>408.35330549704241</v>
      </c>
      <c r="G18" s="126">
        <v>4.5871343946687002</v>
      </c>
    </row>
    <row r="19" spans="1:7">
      <c r="A19" s="125" t="s">
        <v>75</v>
      </c>
      <c r="B19" s="126">
        <v>414.048</v>
      </c>
      <c r="C19" s="126">
        <v>3.1647283072546002</v>
      </c>
      <c r="D19" s="126">
        <v>417.27685714285724</v>
      </c>
      <c r="E19" s="126">
        <v>-2.3274120436224202</v>
      </c>
      <c r="F19" s="126">
        <v>408.93659524026685</v>
      </c>
      <c r="G19" s="126">
        <v>4.9046556830804002</v>
      </c>
    </row>
    <row r="20" spans="1:7">
      <c r="A20" s="125" t="s">
        <v>76</v>
      </c>
      <c r="B20" s="126">
        <v>408.78310344827582</v>
      </c>
      <c r="C20" s="126">
        <v>-2.21610810810812</v>
      </c>
      <c r="D20" s="126">
        <v>414.15448275862059</v>
      </c>
      <c r="E20" s="126">
        <v>-5.6407747747746502</v>
      </c>
      <c r="F20" s="126">
        <v>407.75667325137545</v>
      </c>
      <c r="G20" s="126">
        <v>3.6221769714921299</v>
      </c>
    </row>
    <row r="21" spans="1:7">
      <c r="A21" s="125" t="s">
        <v>77</v>
      </c>
      <c r="B21" s="126">
        <v>405.41185185185191</v>
      </c>
      <c r="C21" s="126">
        <v>-5.7969445234708799</v>
      </c>
      <c r="D21" s="126">
        <v>414.59296296296304</v>
      </c>
      <c r="E21" s="126">
        <v>-5.4541375059268198</v>
      </c>
      <c r="F21" s="126">
        <v>406.1895595500115</v>
      </c>
      <c r="G21" s="126">
        <v>1.8396982599038101</v>
      </c>
    </row>
    <row r="22" spans="1:7">
      <c r="A22" s="125" t="s">
        <v>78</v>
      </c>
      <c r="B22" s="126">
        <v>401.24971428571416</v>
      </c>
      <c r="C22" s="126">
        <v>-10.1777809388336</v>
      </c>
      <c r="D22" s="126">
        <v>417.89914285714286</v>
      </c>
      <c r="E22" s="126">
        <v>-2.3675002370790801</v>
      </c>
      <c r="F22" s="126">
        <v>403.7588590431352</v>
      </c>
      <c r="G22" s="126">
        <v>-0.74278045168447204</v>
      </c>
    </row>
    <row r="23" spans="1:7">
      <c r="A23" s="125" t="s">
        <v>79</v>
      </c>
      <c r="B23" s="126">
        <v>401.11535714285719</v>
      </c>
      <c r="C23" s="126">
        <v>-10.458617354196299</v>
      </c>
      <c r="D23" s="126">
        <v>416.17642857142863</v>
      </c>
      <c r="E23" s="126">
        <v>-4.28086296823128</v>
      </c>
      <c r="F23" s="126">
        <v>401.49869374304734</v>
      </c>
      <c r="G23" s="126">
        <v>-3.2252591632727801</v>
      </c>
    </row>
    <row r="24" spans="1:7">
      <c r="A24" s="125" t="s">
        <v>80</v>
      </c>
      <c r="B24" s="126">
        <v>398.07347826086954</v>
      </c>
      <c r="C24" s="126">
        <v>-13.639453769558999</v>
      </c>
      <c r="D24" s="126">
        <v>413.91363636363644</v>
      </c>
      <c r="E24" s="126">
        <v>-6.7942256993835004</v>
      </c>
      <c r="F24" s="126">
        <v>399.83736047481881</v>
      </c>
      <c r="G24" s="126">
        <v>-5.10773787486107</v>
      </c>
    </row>
    <row r="25" spans="1:7">
      <c r="A25" s="125" t="s">
        <v>81</v>
      </c>
      <c r="B25" s="126">
        <v>405.71323529411757</v>
      </c>
      <c r="C25" s="126">
        <v>-6.2202901849218</v>
      </c>
      <c r="D25" s="126">
        <v>424.18441176470589</v>
      </c>
      <c r="E25" s="126">
        <v>3.2924115694643001</v>
      </c>
      <c r="F25" s="126">
        <v>401.36253748550541</v>
      </c>
      <c r="G25" s="126">
        <v>-3.6902165864494099</v>
      </c>
    </row>
    <row r="26" spans="1:7">
      <c r="A26" s="125" t="s">
        <v>82</v>
      </c>
      <c r="B26" s="126">
        <v>418.21555555555568</v>
      </c>
      <c r="C26" s="126">
        <v>6.0988733997154698</v>
      </c>
      <c r="D26" s="126">
        <v>427.65555555555557</v>
      </c>
      <c r="E26" s="126">
        <v>6.5790488383120902</v>
      </c>
      <c r="F26" s="126">
        <v>405.6379913055024</v>
      </c>
      <c r="G26" s="126">
        <v>0.32730470196233702</v>
      </c>
    </row>
    <row r="27" spans="1:7">
      <c r="A27" s="125" t="s">
        <v>83</v>
      </c>
      <c r="B27" s="126">
        <v>421.0171428571428</v>
      </c>
      <c r="C27" s="126">
        <v>8.7180369843527501</v>
      </c>
      <c r="D27" s="126">
        <v>426.83885714285725</v>
      </c>
      <c r="E27" s="126">
        <v>5.4656861071599101</v>
      </c>
      <c r="F27" s="126">
        <v>407.22181265568457</v>
      </c>
      <c r="G27" s="126">
        <v>1.744825990374</v>
      </c>
    </row>
    <row r="28" spans="1:7">
      <c r="A28" s="125" t="s">
        <v>84</v>
      </c>
      <c r="B28" s="126">
        <v>425.59071428571423</v>
      </c>
      <c r="C28" s="126">
        <v>13.13720056899</v>
      </c>
      <c r="D28" s="126">
        <v>432.48607142857145</v>
      </c>
      <c r="E28" s="126">
        <v>10.952323376007699</v>
      </c>
      <c r="F28" s="126">
        <v>407.87084265771688</v>
      </c>
      <c r="G28" s="126">
        <v>2.2623472787856902</v>
      </c>
    </row>
    <row r="29" spans="1:7">
      <c r="A29" s="125" t="s">
        <v>85</v>
      </c>
      <c r="B29" s="126">
        <v>424.67392857142858</v>
      </c>
      <c r="C29" s="126">
        <v>12.0563641536273</v>
      </c>
      <c r="D29" s="126">
        <v>427.92464285714283</v>
      </c>
      <c r="E29" s="126">
        <v>6.1389606448554499</v>
      </c>
      <c r="F29" s="126">
        <v>409.97156684472662</v>
      </c>
      <c r="G29" s="126">
        <v>4.1798685671974098</v>
      </c>
    </row>
    <row r="30" spans="1:7">
      <c r="A30" s="125" t="s">
        <v>86</v>
      </c>
      <c r="B30" s="126">
        <v>423.42107142857145</v>
      </c>
      <c r="C30" s="126">
        <v>10.575527738264499</v>
      </c>
      <c r="D30" s="126">
        <v>427.23321428571427</v>
      </c>
      <c r="E30" s="126">
        <v>5.2255979137032504</v>
      </c>
      <c r="F30" s="126">
        <v>410.09078826054139</v>
      </c>
      <c r="G30" s="126">
        <v>4.0973898556091299</v>
      </c>
    </row>
    <row r="31" spans="1:7">
      <c r="A31" s="125" t="s">
        <v>87</v>
      </c>
      <c r="B31" s="126">
        <v>416.46657894736848</v>
      </c>
      <c r="C31" s="126">
        <v>3.4946913229018302</v>
      </c>
      <c r="D31" s="126">
        <v>422.09552631578953</v>
      </c>
      <c r="E31" s="126">
        <v>-8.7764817448921298E-2</v>
      </c>
      <c r="F31" s="126">
        <v>410.21752088902923</v>
      </c>
      <c r="G31" s="126">
        <v>4.0149111440208003</v>
      </c>
    </row>
    <row r="32" spans="1:7">
      <c r="A32" s="125" t="s">
        <v>88</v>
      </c>
      <c r="B32" s="126">
        <v>413.11444444444442</v>
      </c>
      <c r="C32" s="126">
        <v>-8.6145092460881395E-2</v>
      </c>
      <c r="D32" s="126">
        <v>419.76777777777784</v>
      </c>
      <c r="E32" s="126">
        <v>-2.60112754860114</v>
      </c>
      <c r="F32" s="126">
        <v>411.1961186433353</v>
      </c>
      <c r="G32" s="126">
        <v>4.8324324324325003</v>
      </c>
    </row>
    <row r="33" spans="1:7">
      <c r="A33" s="125" t="s">
        <v>89</v>
      </c>
      <c r="B33" s="126">
        <v>407.96350000000001</v>
      </c>
      <c r="C33" s="126">
        <v>-5.36698150782364</v>
      </c>
      <c r="D33" s="126">
        <v>416.10649999999998</v>
      </c>
      <c r="E33" s="126">
        <v>-6.5144902797533399</v>
      </c>
      <c r="F33" s="126">
        <v>409.44739154346223</v>
      </c>
      <c r="G33" s="126">
        <v>2.8499537208441899</v>
      </c>
    </row>
    <row r="34" spans="1:7">
      <c r="A34" s="125" t="s">
        <v>90</v>
      </c>
      <c r="B34" s="126">
        <v>405.30228571428569</v>
      </c>
      <c r="C34" s="126">
        <v>-8.2478179231863606</v>
      </c>
      <c r="D34" s="126">
        <v>414.80228571428574</v>
      </c>
      <c r="E34" s="126">
        <v>-8.0278530109055595</v>
      </c>
      <c r="F34" s="126">
        <v>405.86691007598438</v>
      </c>
      <c r="G34" s="126">
        <v>-0.83252499074411301</v>
      </c>
    </row>
    <row r="35" spans="1:7">
      <c r="A35" s="125" t="s">
        <v>91</v>
      </c>
      <c r="B35" s="126">
        <v>405.12642857142845</v>
      </c>
      <c r="C35" s="126">
        <v>-8.6286543385490795</v>
      </c>
      <c r="D35" s="126">
        <v>419.0814285714286</v>
      </c>
      <c r="E35" s="126">
        <v>-3.9412157420577598</v>
      </c>
      <c r="F35" s="126">
        <v>402.23601596399448</v>
      </c>
      <c r="G35" s="126">
        <v>-4.7150037023323996</v>
      </c>
    </row>
    <row r="36" spans="1:7">
      <c r="A36" s="125" t="s">
        <v>92</v>
      </c>
      <c r="B36" s="126">
        <v>403.85916666666662</v>
      </c>
      <c r="C36" s="126">
        <v>-10.0094907539119</v>
      </c>
      <c r="D36" s="126">
        <v>416.28166666666669</v>
      </c>
      <c r="E36" s="126">
        <v>-6.9545784732099802</v>
      </c>
      <c r="F36" s="126">
        <v>401.66270819323</v>
      </c>
      <c r="G36" s="126">
        <v>-5.3974824139206996</v>
      </c>
    </row>
    <row r="37" spans="1:7">
      <c r="A37" s="125" t="s">
        <v>93</v>
      </c>
      <c r="B37" s="126">
        <v>406.8</v>
      </c>
      <c r="C37" s="126">
        <v>-7.2903271692745504</v>
      </c>
      <c r="D37" s="126">
        <v>418.51416666666665</v>
      </c>
      <c r="E37" s="126">
        <v>-4.9679412043621998</v>
      </c>
      <c r="F37" s="126">
        <v>400.46905353032861</v>
      </c>
      <c r="G37" s="126">
        <v>-6.77996112550899</v>
      </c>
    </row>
    <row r="38" spans="1:7">
      <c r="A38" s="125" t="s">
        <v>94</v>
      </c>
      <c r="B38" s="126">
        <v>416.78137931034473</v>
      </c>
      <c r="C38" s="126">
        <v>2.5288364153627199</v>
      </c>
      <c r="D38" s="126">
        <v>429.22103448275863</v>
      </c>
      <c r="E38" s="126">
        <v>5.5186960644855798</v>
      </c>
      <c r="F38" s="126">
        <v>403.24243773680297</v>
      </c>
      <c r="G38" s="126">
        <v>-4.2624398370972996</v>
      </c>
    </row>
    <row r="39" spans="1:7">
      <c r="A39" s="125" t="s">
        <v>95</v>
      </c>
      <c r="B39" s="126">
        <v>422.85916666666662</v>
      </c>
      <c r="C39" s="126">
        <v>8.4479999999999507</v>
      </c>
      <c r="D39" s="126">
        <v>429.60444444444443</v>
      </c>
      <c r="E39" s="126">
        <v>5.7053333333334004</v>
      </c>
      <c r="F39" s="126">
        <v>407.62934454928143</v>
      </c>
      <c r="G39" s="126">
        <v>-4.49185486855707E-2</v>
      </c>
    </row>
    <row r="40" spans="1:7">
      <c r="A40" s="125" t="s">
        <v>96</v>
      </c>
      <c r="B40" s="126">
        <v>419.18730769230763</v>
      </c>
      <c r="C40" s="126">
        <v>4.56716358463723</v>
      </c>
      <c r="D40" s="126">
        <v>425.40961538461539</v>
      </c>
      <c r="E40" s="126">
        <v>1.2919706021811499</v>
      </c>
      <c r="F40" s="126">
        <v>409.33419526838668</v>
      </c>
      <c r="G40" s="126">
        <v>1.4726027397261201</v>
      </c>
    </row>
    <row r="41" spans="1:7">
      <c r="A41" s="125" t="s">
        <v>97</v>
      </c>
      <c r="B41" s="126">
        <v>422.28133333333335</v>
      </c>
      <c r="C41" s="126">
        <v>7.4863271692745199</v>
      </c>
      <c r="D41" s="126">
        <v>425.95566666666673</v>
      </c>
      <c r="E41" s="126">
        <v>1.67860787102896</v>
      </c>
      <c r="F41" s="126">
        <v>409.29046427654822</v>
      </c>
      <c r="G41" s="126">
        <v>1.2901240281378199</v>
      </c>
    </row>
    <row r="42" spans="1:7">
      <c r="A42" s="125" t="s">
        <v>98</v>
      </c>
      <c r="B42" s="126">
        <v>425.22999999999996</v>
      </c>
      <c r="C42" s="126">
        <v>10.2054907539118</v>
      </c>
      <c r="D42" s="126">
        <v>427.13888888888891</v>
      </c>
      <c r="E42" s="126">
        <v>2.5652451398767702</v>
      </c>
      <c r="F42" s="126">
        <v>411.77932401528648</v>
      </c>
      <c r="G42" s="126">
        <v>3.6076453165495201</v>
      </c>
    </row>
    <row r="43" spans="1:7">
      <c r="A43" s="125" t="s">
        <v>99</v>
      </c>
      <c r="B43" s="126">
        <v>422.26647058823522</v>
      </c>
      <c r="C43" s="126">
        <v>7.1246543385490604</v>
      </c>
      <c r="D43" s="126">
        <v>424.75823529411764</v>
      </c>
      <c r="E43" s="126">
        <v>5.1882408724550098E-2</v>
      </c>
      <c r="F43" s="126">
        <v>412.91968741642967</v>
      </c>
      <c r="G43" s="126">
        <v>4.5251666049611803</v>
      </c>
    </row>
    <row r="44" spans="1:7">
      <c r="A44" s="125" t="s">
        <v>100</v>
      </c>
      <c r="B44" s="126">
        <v>416.6774999999999</v>
      </c>
      <c r="C44" s="126">
        <v>1.3438179231863101</v>
      </c>
      <c r="D44" s="126">
        <v>426.50999999999993</v>
      </c>
      <c r="E44" s="126">
        <v>1.53851967757233</v>
      </c>
      <c r="F44" s="126">
        <v>412.18259070178942</v>
      </c>
      <c r="G44" s="126">
        <v>3.6426878933728899</v>
      </c>
    </row>
    <row r="45" spans="1:7">
      <c r="A45" s="125" t="s">
        <v>101</v>
      </c>
      <c r="B45" s="126">
        <v>407.86857142857144</v>
      </c>
      <c r="C45" s="126">
        <v>-7.6370184921764404</v>
      </c>
      <c r="D45" s="126">
        <v>427.58028571428571</v>
      </c>
      <c r="E45" s="126">
        <v>2.4251569464201399</v>
      </c>
      <c r="F45" s="126">
        <v>409.43267328738335</v>
      </c>
      <c r="G45" s="126">
        <v>0.66020918178457999</v>
      </c>
    </row>
    <row r="46" spans="1:7">
      <c r="A46" s="125" t="s">
        <v>102</v>
      </c>
      <c r="B46" s="126">
        <v>405.43285714285724</v>
      </c>
      <c r="C46" s="126">
        <v>-10.3178549075392</v>
      </c>
      <c r="D46" s="126">
        <v>416.72071428571422</v>
      </c>
      <c r="E46" s="126">
        <v>-8.6882057847320997</v>
      </c>
      <c r="F46" s="126">
        <v>408.84368419840098</v>
      </c>
      <c r="G46" s="126">
        <v>-0.12226952980368599</v>
      </c>
    </row>
    <row r="47" spans="1:7">
      <c r="A47" s="125" t="s">
        <v>103</v>
      </c>
      <c r="B47" s="126">
        <v>406.30624999999992</v>
      </c>
      <c r="C47" s="126">
        <v>-9.5986913229018604</v>
      </c>
      <c r="D47" s="126">
        <v>423.26875000000013</v>
      </c>
      <c r="E47" s="126">
        <v>-2.30156851588429</v>
      </c>
      <c r="F47" s="126">
        <v>404.03595218018251</v>
      </c>
      <c r="G47" s="126">
        <v>-5.1047482413919996</v>
      </c>
    </row>
    <row r="48" spans="1:7">
      <c r="A48" s="125" t="s">
        <v>104</v>
      </c>
      <c r="B48" s="126">
        <v>406.88000000000005</v>
      </c>
      <c r="C48" s="126">
        <v>-9.1795277382646301</v>
      </c>
      <c r="D48" s="126">
        <v>424.02833333333331</v>
      </c>
      <c r="E48" s="126">
        <v>-1.81493124703651</v>
      </c>
      <c r="F48" s="126">
        <v>403.634766307066</v>
      </c>
      <c r="G48" s="126">
        <v>-5.6872269529802804</v>
      </c>
    </row>
    <row r="49" spans="1:7">
      <c r="A49" s="125" t="s">
        <v>105</v>
      </c>
      <c r="B49" s="126">
        <v>409.06392857142868</v>
      </c>
      <c r="C49" s="126">
        <v>-7.1603641536273201</v>
      </c>
      <c r="D49" s="126">
        <v>427.30928571428586</v>
      </c>
      <c r="E49" s="126">
        <v>1.2717060218112901</v>
      </c>
      <c r="F49" s="126">
        <v>405.04220261986654</v>
      </c>
      <c r="G49" s="126">
        <v>-4.4697056645686004</v>
      </c>
    </row>
    <row r="50" spans="1:7">
      <c r="A50" s="125" t="s">
        <v>106</v>
      </c>
      <c r="B50" s="126">
        <v>416.08892857142865</v>
      </c>
      <c r="C50" s="126">
        <v>-0.34120056899004803</v>
      </c>
      <c r="D50" s="126">
        <v>428.28321428571434</v>
      </c>
      <c r="E50" s="126">
        <v>2.0583432906590802</v>
      </c>
      <c r="F50" s="126">
        <v>407.88569130679343</v>
      </c>
      <c r="G50" s="126">
        <v>-1.75218437615692</v>
      </c>
    </row>
    <row r="51" spans="1:7">
      <c r="A51" s="125" t="s">
        <v>107</v>
      </c>
      <c r="B51" s="126">
        <v>429.78628571428584</v>
      </c>
      <c r="C51" s="126">
        <v>13.177963015647199</v>
      </c>
      <c r="D51" s="126">
        <v>436.84599999999995</v>
      </c>
      <c r="E51" s="126">
        <v>10.344980559506901</v>
      </c>
      <c r="F51" s="126">
        <v>411.19368969332589</v>
      </c>
      <c r="G51" s="126">
        <v>1.36533691225479</v>
      </c>
    </row>
    <row r="52" spans="1:7">
      <c r="A52" s="125" t="s">
        <v>108</v>
      </c>
      <c r="B52" s="126">
        <v>425.00785714285718</v>
      </c>
      <c r="C52" s="126">
        <v>8.19712660028447</v>
      </c>
      <c r="D52" s="126">
        <v>431.19285714285706</v>
      </c>
      <c r="E52" s="126">
        <v>4.5316178283546398</v>
      </c>
      <c r="F52" s="126">
        <v>411.93306453007608</v>
      </c>
      <c r="G52" s="126">
        <v>1.88285820066648</v>
      </c>
    </row>
    <row r="53" spans="1:7">
      <c r="A53" s="125" t="s">
        <v>109</v>
      </c>
      <c r="B53" s="126">
        <v>424.27485714285712</v>
      </c>
      <c r="C53" s="126">
        <v>7.3162901849217503</v>
      </c>
      <c r="D53" s="126">
        <v>427.79228571428575</v>
      </c>
      <c r="E53" s="126">
        <v>0.91825509720245202</v>
      </c>
      <c r="F53" s="126">
        <v>414.04636552935619</v>
      </c>
      <c r="G53" s="126">
        <v>3.8003794890782001</v>
      </c>
    </row>
    <row r="54" spans="1:7">
      <c r="A54" s="125" t="s">
        <v>110</v>
      </c>
      <c r="B54" s="126">
        <v>422.3896153846153</v>
      </c>
      <c r="C54" s="126">
        <v>5.2354537695589798</v>
      </c>
      <c r="D54" s="126">
        <v>427.04807692307691</v>
      </c>
      <c r="E54" s="126">
        <v>-9.5107633949768802E-2</v>
      </c>
      <c r="F54" s="126">
        <v>413.09994383156203</v>
      </c>
      <c r="G54" s="126">
        <v>2.7179007774899202</v>
      </c>
    </row>
    <row r="55" spans="1:7">
      <c r="A55" s="125" t="s">
        <v>111</v>
      </c>
      <c r="B55" s="126">
        <v>418.31464285714293</v>
      </c>
      <c r="C55" s="126">
        <v>0.95461735419628402</v>
      </c>
      <c r="D55" s="126">
        <v>423.16142857142853</v>
      </c>
      <c r="E55" s="126">
        <v>-4.10847036510199</v>
      </c>
      <c r="F55" s="126">
        <v>414.38311957786362</v>
      </c>
      <c r="G55" s="126">
        <v>3.8354220659015699</v>
      </c>
    </row>
    <row r="56" spans="1:7">
      <c r="A56" s="125" t="s">
        <v>112</v>
      </c>
      <c r="B56" s="126">
        <v>418.60862068965508</v>
      </c>
      <c r="C56" s="126">
        <v>1.07378093883356</v>
      </c>
      <c r="D56" s="126">
        <v>424.2213793103449</v>
      </c>
      <c r="E56" s="126">
        <v>-3.3218330962542</v>
      </c>
      <c r="F56" s="126">
        <v>415.562131817774</v>
      </c>
      <c r="G56" s="126">
        <v>4.8529433543133198</v>
      </c>
    </row>
    <row r="57" spans="1:7">
      <c r="A57" s="125" t="s">
        <v>113</v>
      </c>
      <c r="B57" s="126">
        <v>412.6526829268293</v>
      </c>
      <c r="C57" s="126">
        <v>-5.0070554765292004</v>
      </c>
      <c r="D57" s="126">
        <v>422.42439024390256</v>
      </c>
      <c r="E57" s="126">
        <v>-5.3351958274064204</v>
      </c>
      <c r="F57" s="126">
        <v>413.44660116108321</v>
      </c>
      <c r="G57" s="126">
        <v>2.4704646427249699</v>
      </c>
    </row>
    <row r="58" spans="1:7">
      <c r="A58" s="125" t="s">
        <v>114</v>
      </c>
      <c r="B58" s="126">
        <v>413.06</v>
      </c>
      <c r="C58" s="126">
        <v>-4.7878918918919</v>
      </c>
      <c r="D58" s="126">
        <v>427.70999999999992</v>
      </c>
      <c r="E58" s="126">
        <v>-0.248558558558619</v>
      </c>
      <c r="F58" s="126">
        <v>412.05388782531969</v>
      </c>
      <c r="G58" s="126">
        <v>0.98798593113671795</v>
      </c>
    </row>
    <row r="59" spans="1:7">
      <c r="A59" s="125" t="s">
        <v>115</v>
      </c>
      <c r="B59" s="126">
        <v>409.27655172413802</v>
      </c>
      <c r="C59" s="126">
        <v>-8.7687283072546407</v>
      </c>
      <c r="D59" s="126">
        <v>425.05103448275861</v>
      </c>
      <c r="E59" s="126">
        <v>-3.0619212897107899</v>
      </c>
      <c r="F59" s="126">
        <v>406.91684044630364</v>
      </c>
      <c r="G59" s="126">
        <v>-4.3944927804516301</v>
      </c>
    </row>
    <row r="60" spans="1:7">
      <c r="A60" s="125" t="s">
        <v>116</v>
      </c>
      <c r="B60" s="126">
        <v>408.57911764705887</v>
      </c>
      <c r="C60" s="126">
        <v>-9.6495647226173595</v>
      </c>
      <c r="D60" s="126">
        <v>428.98970588235306</v>
      </c>
      <c r="E60" s="126">
        <v>0.62471597913697297</v>
      </c>
      <c r="F60" s="126">
        <v>404.55227319028256</v>
      </c>
      <c r="G60" s="126">
        <v>-6.8769714920398801</v>
      </c>
    </row>
    <row r="61" spans="1:7">
      <c r="A61" s="125" t="s">
        <v>117</v>
      </c>
      <c r="B61" s="126">
        <v>410.34178571428578</v>
      </c>
      <c r="C61" s="126">
        <v>-8.13040113798011</v>
      </c>
      <c r="D61" s="126">
        <v>423.14500000000004</v>
      </c>
      <c r="E61" s="126">
        <v>-5.4886467520152102</v>
      </c>
      <c r="F61" s="126">
        <v>406.06883725898513</v>
      </c>
      <c r="G61" s="126">
        <v>-5.5594502036281801</v>
      </c>
    </row>
    <row r="62" spans="1:7">
      <c r="A62" s="125" t="s">
        <v>118</v>
      </c>
      <c r="B62" s="126">
        <v>420.47371428571421</v>
      </c>
      <c r="C62" s="126">
        <v>1.88876244665715</v>
      </c>
      <c r="D62" s="126">
        <v>430.75085714285717</v>
      </c>
      <c r="E62" s="126">
        <v>1.99799051683256</v>
      </c>
      <c r="F62" s="126">
        <v>410.28267838233296</v>
      </c>
      <c r="G62" s="126">
        <v>-1.5419289152165001</v>
      </c>
    </row>
    <row r="63" spans="1:7">
      <c r="A63" s="125" t="s">
        <v>119</v>
      </c>
      <c r="B63" s="126">
        <v>427.94285714285718</v>
      </c>
      <c r="C63" s="126">
        <v>9.1079260312944008</v>
      </c>
      <c r="D63" s="126">
        <v>434.31892857142856</v>
      </c>
      <c r="E63" s="126">
        <v>5.2846277856803496</v>
      </c>
      <c r="F63" s="126">
        <v>413.3142487150875</v>
      </c>
      <c r="G63" s="126">
        <v>1.2755923731951999</v>
      </c>
    </row>
    <row r="64" spans="1:7">
      <c r="A64" s="125" t="s">
        <v>120</v>
      </c>
      <c r="B64" s="126">
        <v>425.13103448275859</v>
      </c>
      <c r="C64" s="126">
        <v>6.1270896159317099</v>
      </c>
      <c r="D64" s="126">
        <v>430.74620689655171</v>
      </c>
      <c r="E64" s="126">
        <v>1.4712650545281201</v>
      </c>
      <c r="F64" s="126">
        <v>413.939845939382</v>
      </c>
      <c r="G64" s="126">
        <v>1.69311366160687</v>
      </c>
    </row>
    <row r="65" spans="1:7">
      <c r="A65" s="125" t="s">
        <v>121</v>
      </c>
      <c r="B65" s="126">
        <v>429.35341463414636</v>
      </c>
      <c r="C65" s="126">
        <v>10.2462532005689</v>
      </c>
      <c r="D65" s="126">
        <v>432.66853658536587</v>
      </c>
      <c r="E65" s="126">
        <v>3.2579023233759101</v>
      </c>
      <c r="F65" s="126">
        <v>414.72053880744727</v>
      </c>
      <c r="G65" s="126">
        <v>2.3106349500185801</v>
      </c>
    </row>
    <row r="66" spans="1:7">
      <c r="A66" s="125" t="s">
        <v>122</v>
      </c>
      <c r="B66" s="126">
        <v>422.02238095238101</v>
      </c>
      <c r="C66" s="126">
        <v>2.6654167852062298</v>
      </c>
      <c r="D66" s="126">
        <v>425.45952380952389</v>
      </c>
      <c r="E66" s="126">
        <v>-4.1554604077762898</v>
      </c>
      <c r="F66" s="126">
        <v>416.13396278406253</v>
      </c>
      <c r="G66" s="126">
        <v>3.5281562384303098</v>
      </c>
    </row>
    <row r="67" spans="1:7">
      <c r="A67" s="125" t="s">
        <v>123</v>
      </c>
      <c r="B67" s="126">
        <v>422.40285714285721</v>
      </c>
      <c r="C67" s="126">
        <v>2.8845803698434702</v>
      </c>
      <c r="D67" s="126">
        <v>427.06678571428569</v>
      </c>
      <c r="E67" s="126">
        <v>-2.7688231389284699</v>
      </c>
      <c r="F67" s="126">
        <v>417.22836502432233</v>
      </c>
      <c r="G67" s="126">
        <v>4.4456775268419797</v>
      </c>
    </row>
    <row r="68" spans="1:7">
      <c r="A68" s="125" t="s">
        <v>124</v>
      </c>
      <c r="B68" s="126">
        <v>419.12971428571439</v>
      </c>
      <c r="C68" s="126">
        <v>-0.59625604551921396</v>
      </c>
      <c r="D68" s="126">
        <v>427.90085714285709</v>
      </c>
      <c r="E68" s="126">
        <v>-2.1821858700807302</v>
      </c>
      <c r="F68" s="126">
        <v>416.77792204715297</v>
      </c>
      <c r="G68" s="126">
        <v>3.8631988152536998</v>
      </c>
    </row>
    <row r="69" spans="1:7">
      <c r="A69" s="125" t="s">
        <v>125</v>
      </c>
      <c r="B69" s="126">
        <v>413.33821428571412</v>
      </c>
      <c r="C69" s="126">
        <v>-6.5770924608819596</v>
      </c>
      <c r="D69" s="126">
        <v>420.72035714285715</v>
      </c>
      <c r="E69" s="126">
        <v>-9.5955486012329292</v>
      </c>
      <c r="F69" s="126">
        <v>415.5780907257286</v>
      </c>
      <c r="G69" s="126">
        <v>2.4807201036654098</v>
      </c>
    </row>
    <row r="70" spans="1:7">
      <c r="A70" s="125" t="s">
        <v>126</v>
      </c>
      <c r="B70" s="126">
        <v>413.47285714285709</v>
      </c>
      <c r="C70" s="126">
        <v>-6.5579288762447003</v>
      </c>
      <c r="D70" s="126">
        <v>424.9671428571429</v>
      </c>
      <c r="E70" s="126">
        <v>-5.5089113323851304</v>
      </c>
      <c r="F70" s="126">
        <v>412.14417707383149</v>
      </c>
      <c r="G70" s="126">
        <v>-1.2017586079228899</v>
      </c>
    </row>
    <row r="71" spans="1:7">
      <c r="A71" s="125" t="s">
        <v>127</v>
      </c>
      <c r="B71" s="126">
        <v>410.036</v>
      </c>
      <c r="C71" s="126">
        <v>-10.2387652916074</v>
      </c>
      <c r="D71" s="126">
        <v>427.56171428571429</v>
      </c>
      <c r="E71" s="126">
        <v>-3.1222740635373101</v>
      </c>
      <c r="F71" s="126">
        <v>409.75223235859266</v>
      </c>
      <c r="G71" s="126">
        <v>-3.6842373195112001</v>
      </c>
    </row>
    <row r="72" spans="1:7">
      <c r="A72" s="125" t="s">
        <v>128</v>
      </c>
      <c r="B72" s="126">
        <v>411.19428571428568</v>
      </c>
      <c r="C72" s="126">
        <v>-9.2196017069701703</v>
      </c>
      <c r="D72" s="126">
        <v>432.64535714285705</v>
      </c>
      <c r="E72" s="126">
        <v>1.66436320531048</v>
      </c>
      <c r="F72" s="126">
        <v>408.04020028421758</v>
      </c>
      <c r="G72" s="126">
        <v>-5.6667160310995097</v>
      </c>
    </row>
    <row r="73" spans="1:7">
      <c r="A73" s="125" t="s">
        <v>129</v>
      </c>
      <c r="B73" s="126">
        <v>411.8434482758621</v>
      </c>
      <c r="C73" s="126">
        <v>-8.8004381223328796</v>
      </c>
      <c r="D73" s="126">
        <v>432.12310344827591</v>
      </c>
      <c r="E73" s="126">
        <v>0.95100047415826805</v>
      </c>
      <c r="F73" s="126">
        <v>409.57476234564405</v>
      </c>
      <c r="G73" s="126">
        <v>-4.2491947426877896</v>
      </c>
    </row>
    <row r="74" spans="1:7">
      <c r="A74" s="125" t="s">
        <v>130</v>
      </c>
      <c r="B74" s="126">
        <v>424.44088235294112</v>
      </c>
      <c r="C74" s="126">
        <v>3.6187254623043499</v>
      </c>
      <c r="D74" s="126">
        <v>436.36147058823531</v>
      </c>
      <c r="E74" s="126">
        <v>5.0376377430060097</v>
      </c>
      <c r="F74" s="126">
        <v>412.50992886838918</v>
      </c>
      <c r="G74" s="126">
        <v>-1.5316734542761199</v>
      </c>
    </row>
    <row r="75" spans="1:7">
      <c r="A75" s="125" t="s">
        <v>131</v>
      </c>
      <c r="B75" s="126">
        <v>434.36857142857144</v>
      </c>
      <c r="C75" s="126">
        <v>13.437889046941599</v>
      </c>
      <c r="D75" s="126">
        <v>440.31071428571425</v>
      </c>
      <c r="E75" s="126">
        <v>8.7242750118538392</v>
      </c>
      <c r="F75" s="126">
        <v>414.00574522664857</v>
      </c>
      <c r="G75" s="126">
        <v>-0.21415216586441599</v>
      </c>
    </row>
    <row r="76" spans="1:7">
      <c r="A76" s="125" t="s">
        <v>132</v>
      </c>
      <c r="B76" s="126">
        <v>434.55551724137933</v>
      </c>
      <c r="C76" s="126">
        <v>13.4570526315789</v>
      </c>
      <c r="D76" s="126">
        <v>437.40896551724148</v>
      </c>
      <c r="E76" s="126">
        <v>5.6109122807015899</v>
      </c>
      <c r="F76" s="126">
        <v>417.52181429327095</v>
      </c>
      <c r="G76" s="126">
        <v>3.1033691225472801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79CD-74EB-724D-8D9F-8C316BCC8BD6}">
  <dimension ref="A1:AE131"/>
  <sheetViews>
    <sheetView workbookViewId="0">
      <selection activeCell="L103" sqref="L103"/>
    </sheetView>
  </sheetViews>
  <sheetFormatPr baseColWidth="10" defaultRowHeight="19"/>
  <cols>
    <col min="1" max="2" width="21.1640625" style="37" bestFit="1" customWidth="1"/>
    <col min="3" max="3" width="19.83203125" style="38" bestFit="1" customWidth="1"/>
    <col min="4" max="4" width="12.6640625" style="38" bestFit="1" customWidth="1"/>
    <col min="5" max="5" width="32.6640625" style="39" bestFit="1" customWidth="1"/>
    <col min="6" max="6" width="25.1640625" style="39" bestFit="1" customWidth="1"/>
    <col min="7" max="7" width="20.5" style="40" bestFit="1" customWidth="1"/>
    <col min="8" max="8" width="19.6640625" style="40" bestFit="1" customWidth="1"/>
    <col min="9" max="9" width="17.1640625" style="40" bestFit="1" customWidth="1"/>
    <col min="10" max="10" width="32.6640625" style="41" bestFit="1" customWidth="1"/>
    <col min="11" max="11" width="32.5" style="41" bestFit="1" customWidth="1"/>
    <col min="12" max="12" width="14.5" style="40" bestFit="1" customWidth="1"/>
    <col min="13" max="13" width="18" style="40" bestFit="1" customWidth="1"/>
    <col min="14" max="14" width="19.33203125" style="44" bestFit="1" customWidth="1"/>
    <col min="15" max="15" width="15.6640625" style="44" bestFit="1" customWidth="1"/>
    <col min="16" max="16" width="19" style="44" bestFit="1" customWidth="1"/>
    <col min="17" max="17" width="34.5" style="45" bestFit="1" customWidth="1"/>
    <col min="18" max="18" width="33.83203125" style="45" bestFit="1" customWidth="1"/>
    <col min="19" max="19" width="13" style="46" bestFit="1" customWidth="1"/>
    <col min="20" max="20" width="16.5" style="46" bestFit="1" customWidth="1"/>
    <col min="21" max="21" width="10.83203125" style="22"/>
    <col min="22" max="22" width="21.1640625" style="22" bestFit="1" customWidth="1"/>
    <col min="23" max="25" width="10.83203125" style="22"/>
    <col min="26" max="26" width="11.33203125" style="22" bestFit="1" customWidth="1"/>
    <col min="27" max="16384" width="10.83203125" style="22"/>
  </cols>
  <sheetData>
    <row r="1" spans="1:31" ht="26">
      <c r="A1" s="15" t="s">
        <v>176</v>
      </c>
      <c r="B1" s="15"/>
      <c r="C1" s="16" t="s">
        <v>133</v>
      </c>
      <c r="D1" s="16"/>
      <c r="E1" s="17"/>
      <c r="F1" s="17"/>
      <c r="G1" s="18" t="s">
        <v>136</v>
      </c>
      <c r="H1" s="18"/>
      <c r="I1" s="18"/>
      <c r="J1" s="19"/>
      <c r="K1" s="19"/>
      <c r="L1" s="18"/>
      <c r="M1" s="18"/>
      <c r="N1" s="20" t="s">
        <v>137</v>
      </c>
      <c r="O1" s="20"/>
      <c r="P1" s="20"/>
      <c r="Q1" s="21"/>
      <c r="R1" s="21"/>
      <c r="S1" s="21"/>
      <c r="T1" s="21"/>
    </row>
    <row r="2" spans="1:31">
      <c r="A2" s="23" t="s">
        <v>138</v>
      </c>
      <c r="B2" s="24" t="s">
        <v>139</v>
      </c>
      <c r="C2" s="25" t="s">
        <v>140</v>
      </c>
      <c r="D2" s="25" t="s">
        <v>141</v>
      </c>
      <c r="E2" s="26" t="s">
        <v>142</v>
      </c>
      <c r="F2" s="26" t="s">
        <v>143</v>
      </c>
      <c r="G2" s="27" t="s">
        <v>144</v>
      </c>
      <c r="H2" s="27" t="s">
        <v>145</v>
      </c>
      <c r="I2" s="27" t="s">
        <v>146</v>
      </c>
      <c r="J2" s="28" t="s">
        <v>147</v>
      </c>
      <c r="K2" s="28" t="s">
        <v>148</v>
      </c>
      <c r="L2" s="29" t="s">
        <v>149</v>
      </c>
      <c r="M2" s="30" t="s">
        <v>150</v>
      </c>
      <c r="N2" s="31" t="s">
        <v>151</v>
      </c>
      <c r="O2" s="31" t="s">
        <v>152</v>
      </c>
      <c r="P2" s="31" t="s">
        <v>153</v>
      </c>
      <c r="Q2" s="32" t="s">
        <v>154</v>
      </c>
      <c r="R2" s="32" t="s">
        <v>155</v>
      </c>
      <c r="S2" s="33" t="s">
        <v>156</v>
      </c>
      <c r="T2" s="34" t="s">
        <v>157</v>
      </c>
      <c r="U2" s="35"/>
    </row>
    <row r="3" spans="1:31">
      <c r="A3" s="36">
        <v>2014</v>
      </c>
      <c r="B3" s="37">
        <v>10</v>
      </c>
      <c r="C3" s="38">
        <v>19.244199999999999</v>
      </c>
      <c r="E3" s="39">
        <v>3.0659299895506802</v>
      </c>
      <c r="G3" s="40">
        <v>14.872266679999999</v>
      </c>
      <c r="H3" s="40">
        <v>409.80799999999999</v>
      </c>
      <c r="I3" s="40">
        <f>monthly_averages[[#This Row],[CO2City (115m)]]*((monthly_averages[[#This Row],[D14CrefBG (JFJ)]]-monthly_averages[[#This Row],[D14Ccity (115m)]])/(monthly_averages[[#This Row],[D14CrefBG (JFJ)]]+1000))</f>
        <v>1.7578253082063751</v>
      </c>
      <c r="J3" s="41">
        <v>2.8085854437325399</v>
      </c>
      <c r="K3" s="41">
        <v>2.9839574655474101</v>
      </c>
      <c r="L3" s="42"/>
      <c r="M3" s="42"/>
      <c r="N3" s="43">
        <v>15.770495970000001</v>
      </c>
      <c r="O3" s="44">
        <v>420.36771428571433</v>
      </c>
      <c r="P3" s="44">
        <f>monthly_averages[[#This Row],[CO2 (10m)2]]*((monthly_averages[[#This Row],[D14CrefBG (JFJ)]]-monthly_averages[[#This Row],[D14Ccity (10m)]])/(monthly_averages[[#This Row],[D14CrefBG (JFJ)]]+1000))</f>
        <v>1.4326625780123878</v>
      </c>
      <c r="Q3" s="45">
        <v>4.0157084676735098</v>
      </c>
      <c r="R3" s="45">
        <v>4.3960605241235697</v>
      </c>
      <c r="T3" s="47"/>
      <c r="U3" s="35"/>
    </row>
    <row r="4" spans="1:31">
      <c r="A4" s="36">
        <v>2014</v>
      </c>
      <c r="B4" s="37">
        <v>11</v>
      </c>
      <c r="C4" s="38">
        <v>18.537199999999999</v>
      </c>
      <c r="E4" s="39">
        <v>2.6191628392991602</v>
      </c>
      <c r="G4" s="40">
        <v>19.02496919</v>
      </c>
      <c r="H4" s="40">
        <v>419.05892857142857</v>
      </c>
      <c r="I4" s="40">
        <f>monthly_averages[[#This Row],[CO2City (115m)]]*((monthly_averages[[#This Row],[D14CrefBG (JFJ)]]-monthly_averages[[#This Row],[D14Ccity (115m)]])/(monthly_averages[[#This Row],[D14CrefBG (JFJ)]]+1000))</f>
        <v>-0.2006839162590765</v>
      </c>
      <c r="J4" s="41">
        <v>7.2031656610942498</v>
      </c>
      <c r="K4" s="41">
        <v>12.017582815796599</v>
      </c>
      <c r="L4" s="42"/>
      <c r="M4" s="42"/>
      <c r="N4" s="43">
        <v>13.50171802</v>
      </c>
      <c r="O4" s="44">
        <v>423.25785714285712</v>
      </c>
      <c r="P4" s="44">
        <f>monthly_averages[[#This Row],[CO2 (10m)2]]*((monthly_averages[[#This Row],[D14CrefBG (JFJ)]]-monthly_averages[[#This Row],[D14Ccity (10m)]])/(monthly_averages[[#This Row],[D14CrefBG (JFJ)]]+1000))</f>
        <v>2.0925178899074779</v>
      </c>
      <c r="Q4" s="45">
        <v>2.0045441861342099</v>
      </c>
      <c r="R4" s="45">
        <v>7.0527054339811199</v>
      </c>
      <c r="T4" s="47"/>
      <c r="U4" s="35"/>
    </row>
    <row r="5" spans="1:31" s="50" customFormat="1" ht="26">
      <c r="A5" s="36">
        <v>2014</v>
      </c>
      <c r="B5" s="37">
        <v>12</v>
      </c>
      <c r="C5" s="38">
        <v>18.407299999999999</v>
      </c>
      <c r="D5" s="38">
        <v>401.36808937911701</v>
      </c>
      <c r="E5" s="39">
        <v>2.7423956890476502</v>
      </c>
      <c r="F5" s="39">
        <v>0.33159233926145198</v>
      </c>
      <c r="G5" s="40">
        <v>9.2494405830000002</v>
      </c>
      <c r="H5" s="40">
        <v>414.48085714285719</v>
      </c>
      <c r="I5" s="40">
        <f>monthly_averages[[#This Row],[CO2City (115m)]]*((monthly_averages[[#This Row],[D14CrefBG (JFJ)]]-monthly_averages[[#This Row],[D14Ccity (115m)]])/(monthly_averages[[#This Row],[D14CrefBG (JFJ)]]+1000))</f>
        <v>3.7271506407622432</v>
      </c>
      <c r="J5" s="41">
        <v>-2.32225412154405</v>
      </c>
      <c r="K5" s="41">
        <v>7.2212081660458702</v>
      </c>
      <c r="L5" s="42">
        <f>monthly_averages[[#This Row],[CO2City (115m)]]-monthly_averages[[#This Row],[Cbg (JFJ)]]</f>
        <v>13.11276776374018</v>
      </c>
      <c r="M5" s="42">
        <f>monthly_averages[[#This Row],[dC (115 m)]]-monthly_averages[[#This Row],[CO2ff (115m)]]</f>
        <v>9.385617122977937</v>
      </c>
      <c r="N5" s="43">
        <v>10.99608817</v>
      </c>
      <c r="O5" s="44">
        <v>420.06257142857129</v>
      </c>
      <c r="P5" s="44">
        <f>monthly_averages[[#This Row],[CO2 (10m)2]]*((monthly_averages[[#This Row],[D14CrefBG (JFJ)]]-monthly_averages[[#This Row],[D14Ccity (10m)]])/(monthly_averages[[#This Row],[D14CrefBG (JFJ)]]+1000))</f>
        <v>3.0569033614661318</v>
      </c>
      <c r="Q5" s="45">
        <v>-0.23662009540508999</v>
      </c>
      <c r="R5" s="45">
        <v>3.6193503438387</v>
      </c>
      <c r="S5" s="46">
        <f>monthly_averages[[#This Row],[CO2 (10m)2]]-monthly_averages[[#This Row],[Cbg (JFJ)]]</f>
        <v>18.69448204945428</v>
      </c>
      <c r="T5" s="47">
        <f>monthly_averages[[#This Row],[dC(10 m)]]-monthly_averages[[#This Row],[CO2ff (10m)]]</f>
        <v>15.637578687988148</v>
      </c>
      <c r="U5" s="48"/>
      <c r="V5" s="49"/>
    </row>
    <row r="6" spans="1:31" ht="26">
      <c r="A6" s="36">
        <v>2015</v>
      </c>
      <c r="B6" s="37">
        <v>1</v>
      </c>
      <c r="C6" s="38">
        <v>15.1328</v>
      </c>
      <c r="D6" s="38">
        <v>402.65355838260746</v>
      </c>
      <c r="E6" s="39">
        <v>-0.28437146120385898</v>
      </c>
      <c r="F6" s="39">
        <v>1.4193779558336299</v>
      </c>
      <c r="G6" s="40">
        <v>0.459076706</v>
      </c>
      <c r="H6" s="40">
        <v>413.98304687500013</v>
      </c>
      <c r="I6" s="40">
        <f>monthly_averages[[#This Row],[CO2City (115m)]]*((monthly_averages[[#This Row],[D14CrefBG (JFJ)]]-monthly_averages[[#This Row],[D14Ccity (115m)]])/(monthly_averages[[#This Row],[D14CrefBG (JFJ)]]+1000))</f>
        <v>5.9841162439542721</v>
      </c>
      <c r="J6" s="41">
        <v>-10.867673904182301</v>
      </c>
      <c r="K6" s="41">
        <v>6.5048335162950899</v>
      </c>
      <c r="L6" s="42">
        <f>monthly_averages[[#This Row],[CO2City (115m)]]-monthly_averages[[#This Row],[Cbg (JFJ)]]</f>
        <v>11.32948849239267</v>
      </c>
      <c r="M6" s="42">
        <f>monthly_averages[[#This Row],[dC (115 m)]]-monthly_averages[[#This Row],[CO2ff (115m)]]</f>
        <v>5.3453722484383981</v>
      </c>
      <c r="N6" s="51"/>
      <c r="T6" s="47"/>
      <c r="U6" s="35"/>
      <c r="V6" s="49"/>
      <c r="Z6" s="52"/>
    </row>
    <row r="7" spans="1:31" ht="26">
      <c r="A7" s="36">
        <v>2015</v>
      </c>
      <c r="B7" s="37">
        <v>2</v>
      </c>
      <c r="C7" s="38">
        <v>16.374500000000001</v>
      </c>
      <c r="D7" s="38">
        <v>403.96083001144666</v>
      </c>
      <c r="E7" s="39">
        <v>1.20886138854463</v>
      </c>
      <c r="F7" s="39">
        <v>2.5371635724058401</v>
      </c>
      <c r="G7" s="40">
        <v>8.5158414259999997</v>
      </c>
      <c r="H7" s="40">
        <v>413.05038461538464</v>
      </c>
      <c r="I7" s="40">
        <f>monthly_averages[[#This Row],[CO2City (115m)]]*((monthly_averages[[#This Row],[D14CrefBG (JFJ)]]-monthly_averages[[#This Row],[D14Ccity (115m)]])/(monthly_averages[[#This Row],[D14CrefBG (JFJ)]]+1000))</f>
        <v>3.1937262756510427</v>
      </c>
      <c r="J7" s="41">
        <v>-2.5630936868206402</v>
      </c>
      <c r="K7" s="41">
        <v>5.3584588665443098</v>
      </c>
      <c r="L7" s="42">
        <f>monthly_averages[[#This Row],[CO2City (115m)]]-monthly_averages[[#This Row],[Cbg (JFJ)]]</f>
        <v>9.0895546039379838</v>
      </c>
      <c r="M7" s="42">
        <f>monthly_averages[[#This Row],[dC (115 m)]]-monthly_averages[[#This Row],[CO2ff (115m)]]</f>
        <v>5.8958283282869406</v>
      </c>
      <c r="N7" s="51"/>
      <c r="T7" s="47"/>
      <c r="U7" s="35"/>
      <c r="V7" s="49"/>
      <c r="Z7" s="52"/>
      <c r="AE7" s="53"/>
    </row>
    <row r="8" spans="1:31" ht="26">
      <c r="A8" s="36">
        <v>2015</v>
      </c>
      <c r="B8" s="37">
        <v>3</v>
      </c>
      <c r="C8" s="38">
        <v>15.284000000000001</v>
      </c>
      <c r="D8" s="38">
        <v>404.62699606128086</v>
      </c>
      <c r="E8" s="39">
        <v>0.372094238293114</v>
      </c>
      <c r="F8" s="39">
        <v>3.0149491889780702</v>
      </c>
      <c r="G8" s="40">
        <v>15.62444249</v>
      </c>
      <c r="H8" s="40">
        <v>410.66444444444448</v>
      </c>
      <c r="I8" s="40">
        <f>monthly_averages[[#This Row],[CO2City (115m)]]*((monthly_averages[[#This Row],[D14CrefBG (JFJ)]]-monthly_averages[[#This Row],[D14Ccity (115m)]])/(monthly_averages[[#This Row],[D14CrefBG (JFJ)]]+1000))</f>
        <v>-0.13770297377003182</v>
      </c>
      <c r="J8" s="41">
        <v>4.7814865305410699</v>
      </c>
      <c r="K8" s="41">
        <v>2.7520842167935502</v>
      </c>
      <c r="L8" s="42">
        <f>monthly_averages[[#This Row],[CO2City (115m)]]-monthly_averages[[#This Row],[Cbg (JFJ)]]</f>
        <v>6.0374483831636212</v>
      </c>
      <c r="M8" s="42">
        <f>monthly_averages[[#This Row],[dC (115 m)]]-monthly_averages[[#This Row],[CO2ff (115m)]]</f>
        <v>6.1751513569336529</v>
      </c>
      <c r="N8" s="51"/>
      <c r="T8" s="47"/>
      <c r="U8" s="35"/>
      <c r="V8" s="49"/>
      <c r="Z8" s="52"/>
      <c r="AE8" s="53"/>
    </row>
    <row r="9" spans="1:31" ht="26">
      <c r="A9" s="36">
        <v>2015</v>
      </c>
      <c r="B9" s="37">
        <v>4</v>
      </c>
      <c r="C9" s="38">
        <v>10.3</v>
      </c>
      <c r="D9" s="38">
        <v>404.13555273057102</v>
      </c>
      <c r="E9" s="39">
        <v>-4.3546729119584002</v>
      </c>
      <c r="F9" s="39">
        <v>2.3327348055502601</v>
      </c>
      <c r="G9" s="40">
        <v>9.8985974960000007</v>
      </c>
      <c r="H9" s="40">
        <v>406.7671428571428</v>
      </c>
      <c r="I9" s="40">
        <f>monthly_averages[[#This Row],[CO2City (115m)]]*((monthly_averages[[#This Row],[D14CrefBG (JFJ)]]-monthly_averages[[#This Row],[D14Ccity (115m)]])/(monthly_averages[[#This Row],[D14CrefBG (JFJ)]]+1000))</f>
        <v>0.16161273848142416</v>
      </c>
      <c r="J9" s="41">
        <v>-0.69393325209722601</v>
      </c>
      <c r="K9" s="41">
        <v>-1.35429043295727</v>
      </c>
      <c r="L9" s="42">
        <f>monthly_averages[[#This Row],[CO2City (115m)]]-monthly_averages[[#This Row],[Cbg (JFJ)]]</f>
        <v>2.6315901265717798</v>
      </c>
      <c r="M9" s="42">
        <f>monthly_averages[[#This Row],[dC (115 m)]]-monthly_averages[[#This Row],[CO2ff (115m)]]</f>
        <v>2.4699773880903555</v>
      </c>
      <c r="N9" s="51"/>
      <c r="T9" s="47"/>
      <c r="U9" s="35"/>
      <c r="V9" s="49"/>
      <c r="Z9" s="52"/>
      <c r="AE9" s="53"/>
    </row>
    <row r="10" spans="1:31">
      <c r="A10" s="36">
        <v>2015</v>
      </c>
      <c r="B10" s="37">
        <v>5</v>
      </c>
      <c r="C10" s="38">
        <v>16.3</v>
      </c>
      <c r="D10" s="38">
        <v>402.55931605837839</v>
      </c>
      <c r="E10" s="39">
        <v>1.8985599377900899</v>
      </c>
      <c r="F10" s="39">
        <v>0.56052042212248798</v>
      </c>
      <c r="G10" s="40">
        <v>10.26168328</v>
      </c>
      <c r="H10" s="40">
        <v>401.09857142857152</v>
      </c>
      <c r="I10" s="40">
        <f>monthly_averages[[#This Row],[CO2City (115m)]]*((monthly_averages[[#This Row],[D14CrefBG (JFJ)]]-monthly_averages[[#This Row],[D14Ccity (115m)]])/(monthly_averages[[#This Row],[D14CrefBG (JFJ)]]+1000))</f>
        <v>2.3831154287368475</v>
      </c>
      <c r="J10" s="41">
        <v>-8.93530347355216E-2</v>
      </c>
      <c r="K10" s="41">
        <v>-7.2406650827080101</v>
      </c>
      <c r="L10" s="42">
        <f>monthly_averages[[#This Row],[CO2City (115m)]]-monthly_averages[[#This Row],[Cbg (JFJ)]]</f>
        <v>-1.460744629806868</v>
      </c>
      <c r="M10" s="42">
        <f>monthly_averages[[#This Row],[dC (115 m)]]-monthly_averages[[#This Row],[CO2ff (115m)]]</f>
        <v>-3.8438600585437155</v>
      </c>
      <c r="N10" s="51"/>
      <c r="T10" s="47"/>
      <c r="U10" s="35"/>
      <c r="Z10" s="52"/>
      <c r="AE10" s="54"/>
    </row>
    <row r="11" spans="1:31">
      <c r="A11" s="36">
        <v>2015</v>
      </c>
      <c r="B11" s="37">
        <v>6</v>
      </c>
      <c r="C11" s="38">
        <v>10.9979</v>
      </c>
      <c r="D11" s="38">
        <v>398.90061033500086</v>
      </c>
      <c r="E11" s="39">
        <v>-3.1482072124614202</v>
      </c>
      <c r="F11" s="39">
        <v>-3.29169396130533</v>
      </c>
      <c r="G11" s="40">
        <v>14.13697962</v>
      </c>
      <c r="H11" s="40">
        <v>395.79703703703711</v>
      </c>
      <c r="I11" s="40">
        <f>monthly_averages[[#This Row],[CO2City (115m)]]*((monthly_averages[[#This Row],[D14CrefBG (JFJ)]]-monthly_averages[[#This Row],[D14Ccity (115m)]])/(monthly_averages[[#This Row],[D14CrefBG (JFJ)]]+1000))</f>
        <v>-1.2289228420942799</v>
      </c>
      <c r="J11" s="41">
        <v>4.0352271826261799</v>
      </c>
      <c r="K11" s="41">
        <v>-12.7570397324588</v>
      </c>
      <c r="L11" s="42">
        <f>monthly_averages[[#This Row],[CO2City (115m)]]-monthly_averages[[#This Row],[Cbg (JFJ)]]</f>
        <v>-3.1035732979637487</v>
      </c>
      <c r="M11" s="42">
        <f>monthly_averages[[#This Row],[dC (115 m)]]-monthly_averages[[#This Row],[CO2ff (115m)]]</f>
        <v>-1.8746504558694688</v>
      </c>
      <c r="N11" s="51"/>
      <c r="T11" s="47"/>
      <c r="U11" s="35"/>
      <c r="Z11" s="52"/>
      <c r="AE11" s="54"/>
    </row>
    <row r="12" spans="1:31">
      <c r="A12" s="36">
        <v>2015</v>
      </c>
      <c r="B12" s="37">
        <v>7</v>
      </c>
      <c r="C12" s="38">
        <v>13.943</v>
      </c>
      <c r="D12" s="38">
        <v>397.76136934559776</v>
      </c>
      <c r="E12" s="39">
        <v>4.5025637287063498E-2</v>
      </c>
      <c r="F12" s="39">
        <v>-4.6239083447331097</v>
      </c>
      <c r="G12" s="40">
        <v>11.85368957</v>
      </c>
      <c r="H12" s="40">
        <v>396.5976470588235</v>
      </c>
      <c r="I12" s="40">
        <f>monthly_averages[[#This Row],[CO2City (115m)]]*((monthly_averages[[#This Row],[D14CrefBG (JFJ)]]-monthly_averages[[#This Row],[D14Ccity (115m)]])/(monthly_averages[[#This Row],[D14CrefBG (JFJ)]]+1000))</f>
        <v>0.81722108689882822</v>
      </c>
      <c r="J12" s="41">
        <v>1.98980739998789</v>
      </c>
      <c r="K12" s="41">
        <v>-12.1734143822096</v>
      </c>
      <c r="L12" s="42">
        <f>monthly_averages[[#This Row],[CO2City (115m)]]-monthly_averages[[#This Row],[Cbg (JFJ)]]</f>
        <v>-1.1637222867742594</v>
      </c>
      <c r="M12" s="42">
        <f>monthly_averages[[#This Row],[dC (115 m)]]-monthly_averages[[#This Row],[CO2ff (115m)]]</f>
        <v>-1.9809433736730875</v>
      </c>
      <c r="N12" s="51"/>
      <c r="T12" s="47"/>
      <c r="U12" s="35"/>
      <c r="Z12" s="52"/>
      <c r="AE12" s="54"/>
    </row>
    <row r="13" spans="1:31">
      <c r="A13" s="36">
        <v>2015</v>
      </c>
      <c r="B13" s="37">
        <v>8</v>
      </c>
      <c r="C13" s="38">
        <v>11.552899999999999</v>
      </c>
      <c r="D13" s="38">
        <v>394.71947091529023</v>
      </c>
      <c r="E13" s="39">
        <v>-2.0917415129644499</v>
      </c>
      <c r="F13" s="39">
        <v>-7.8561227281608597</v>
      </c>
      <c r="G13" s="40">
        <v>12.418843109999999</v>
      </c>
      <c r="H13" s="40">
        <v>397.6966666666666</v>
      </c>
      <c r="I13" s="40">
        <f>monthly_averages[[#This Row],[CO2City (115m)]]*((monthly_averages[[#This Row],[D14CrefBG (JFJ)]]-monthly_averages[[#This Row],[D14Ccity (115m)]])/(monthly_averages[[#This Row],[D14CrefBG (JFJ)]]+1000))</f>
        <v>-0.34044950923472866</v>
      </c>
      <c r="J13" s="41">
        <v>2.8043876173495899</v>
      </c>
      <c r="K13" s="41">
        <v>-11.2897890319604</v>
      </c>
      <c r="L13" s="42">
        <f>monthly_averages[[#This Row],[CO2City (115m)]]-monthly_averages[[#This Row],[Cbg (JFJ)]]</f>
        <v>2.9771957513763709</v>
      </c>
      <c r="M13" s="42">
        <f>monthly_averages[[#This Row],[dC (115 m)]]-monthly_averages[[#This Row],[CO2ff (115m)]]</f>
        <v>3.3176452606110995</v>
      </c>
      <c r="N13" s="43">
        <v>10.430846519999999</v>
      </c>
      <c r="O13" s="44">
        <v>412.98555555555555</v>
      </c>
      <c r="P13" s="44">
        <f>monthly_averages[[#This Row],[CO2 (10m)2]]*((monthly_averages[[#This Row],[D14CrefBG (JFJ)]]-monthly_averages[[#This Row],[D14Ccity (10m)]])/(monthly_averages[[#This Row],[D14CrefBG (JFJ)]]+1000))</f>
        <v>0.45809950206345545</v>
      </c>
      <c r="Q13" s="45">
        <v>1.2640656522804901</v>
      </c>
      <c r="R13" s="45">
        <v>-5.3174903773007802</v>
      </c>
      <c r="S13" s="46">
        <f>monthly_averages[[#This Row],[CO2 (10m)2]]-monthly_averages[[#This Row],[Cbg (JFJ)]]</f>
        <v>18.266084640265319</v>
      </c>
      <c r="T13" s="47">
        <f>monthly_averages[[#This Row],[dC(10 m)]]-monthly_averages[[#This Row],[CO2ff (10m)]]</f>
        <v>17.807985138201865</v>
      </c>
      <c r="U13" s="35"/>
      <c r="Z13" s="52"/>
      <c r="AE13" s="54"/>
    </row>
    <row r="14" spans="1:31">
      <c r="A14" s="36">
        <v>2015</v>
      </c>
      <c r="B14" s="37">
        <v>9</v>
      </c>
      <c r="C14" s="38">
        <v>12.14</v>
      </c>
      <c r="D14" s="38">
        <v>396.34093040533696</v>
      </c>
      <c r="E14" s="39">
        <v>-1.2485086632159601</v>
      </c>
      <c r="F14" s="39">
        <v>-6.4283371115887098</v>
      </c>
      <c r="G14" s="40">
        <v>10.06205829</v>
      </c>
      <c r="H14" s="40">
        <v>398.61333333333329</v>
      </c>
      <c r="I14" s="40">
        <f>monthly_averages[[#This Row],[CO2City (115m)]]*((monthly_averages[[#This Row],[D14CrefBG (JFJ)]]-monthly_averages[[#This Row],[D14Ccity (115m)]])/(monthly_averages[[#This Row],[D14CrefBG (JFJ)]]+1000))</f>
        <v>0.81836037652446003</v>
      </c>
      <c r="J14" s="41">
        <v>0.68896783471129897</v>
      </c>
      <c r="K14" s="41">
        <v>-10.596163681711101</v>
      </c>
      <c r="L14" s="42">
        <f>monthly_averages[[#This Row],[CO2City (115m)]]-monthly_averages[[#This Row],[Cbg (JFJ)]]</f>
        <v>2.2724029279963247</v>
      </c>
      <c r="M14" s="42">
        <f>monthly_averages[[#This Row],[dC (115 m)]]-monthly_averages[[#This Row],[CO2ff (115m)]]</f>
        <v>1.4540425514718647</v>
      </c>
      <c r="N14" s="43">
        <v>12.684469160000001</v>
      </c>
      <c r="O14" s="44">
        <v>401.79095238095243</v>
      </c>
      <c r="P14" s="44">
        <f>monthly_averages[[#This Row],[CO2 (10m)2]]*((monthly_averages[[#This Row],[D14CrefBG (JFJ)]]-monthly_averages[[#This Row],[D14Ccity (10m)]])/(monthly_averages[[#This Row],[D14CrefBG (JFJ)]]+1000))</f>
        <v>-0.21613885661910137</v>
      </c>
      <c r="Q14" s="45">
        <v>3.77290137074118</v>
      </c>
      <c r="R14" s="45">
        <v>-16.750845467443199</v>
      </c>
      <c r="S14" s="46">
        <f>monthly_averages[[#This Row],[CO2 (10m)2]]-monthly_averages[[#This Row],[Cbg (JFJ)]]</f>
        <v>5.4500219756154706</v>
      </c>
      <c r="T14" s="47">
        <f>monthly_averages[[#This Row],[dC(10 m)]]-monthly_averages[[#This Row],[CO2ff (10m)]]</f>
        <v>5.6661608322345725</v>
      </c>
      <c r="U14" s="35"/>
      <c r="Z14" s="52"/>
      <c r="AE14" s="54"/>
    </row>
    <row r="15" spans="1:31">
      <c r="A15" s="36">
        <v>2015</v>
      </c>
      <c r="B15" s="37">
        <v>10</v>
      </c>
      <c r="C15" s="38">
        <v>14.315099999999999</v>
      </c>
      <c r="D15" s="38">
        <v>399.64214480281436</v>
      </c>
      <c r="E15" s="39">
        <v>1.18472418653253</v>
      </c>
      <c r="F15" s="39">
        <v>-3.3205514950164901</v>
      </c>
      <c r="G15" s="40">
        <v>3.7675219800000002</v>
      </c>
      <c r="H15" s="40">
        <v>413.60028571428575</v>
      </c>
      <c r="I15" s="40">
        <f>monthly_averages[[#This Row],[CO2City (115m)]]*((monthly_averages[[#This Row],[D14CrefBG (JFJ)]]-monthly_averages[[#This Row],[D14Ccity (115m)]])/(monthly_averages[[#This Row],[D14CrefBG (JFJ)]]+1000))</f>
        <v>4.3009132789857123</v>
      </c>
      <c r="J15" s="41">
        <v>-5.3564519479269999</v>
      </c>
      <c r="K15" s="41">
        <v>4.1774616685381201</v>
      </c>
      <c r="L15" s="42">
        <f>monthly_averages[[#This Row],[CO2City (115m)]]-monthly_averages[[#This Row],[Cbg (JFJ)]]</f>
        <v>13.958140911471389</v>
      </c>
      <c r="M15" s="42">
        <f>monthly_averages[[#This Row],[dC (115 m)]]-monthly_averages[[#This Row],[CO2ff (115m)]]</f>
        <v>9.6572276324856769</v>
      </c>
      <c r="N15" s="43">
        <v>7.0894489869999999</v>
      </c>
      <c r="O15" s="44">
        <v>423.44999999999993</v>
      </c>
      <c r="P15" s="44">
        <f>monthly_averages[[#This Row],[CO2 (10m)2]]*((monthly_averages[[#This Row],[D14CrefBG (JFJ)]]-monthly_averages[[#This Row],[D14Ccity (10m)]])/(monthly_averages[[#This Row],[D14CrefBG (JFJ)]]+1000))</f>
        <v>3.0165201340834318</v>
      </c>
      <c r="Q15" s="45">
        <v>-1.5582629107981201</v>
      </c>
      <c r="R15" s="45">
        <v>4.6757994424143297</v>
      </c>
      <c r="S15" s="46">
        <f>monthly_averages[[#This Row],[CO2 (10m)2]]-monthly_averages[[#This Row],[Cbg (JFJ)]]</f>
        <v>23.807855197185575</v>
      </c>
      <c r="T15" s="47">
        <f>monthly_averages[[#This Row],[dC(10 m)]]-monthly_averages[[#This Row],[CO2ff (10m)]]</f>
        <v>20.791335063102142</v>
      </c>
      <c r="U15" s="35"/>
      <c r="Z15" s="52"/>
      <c r="AE15" s="54"/>
    </row>
    <row r="16" spans="1:31">
      <c r="A16" s="36">
        <v>2015</v>
      </c>
      <c r="B16" s="37">
        <v>11</v>
      </c>
      <c r="C16" s="38">
        <v>11.0542</v>
      </c>
      <c r="D16" s="38">
        <v>402.77766770701675</v>
      </c>
      <c r="E16" s="39">
        <v>-1.8320429637189899</v>
      </c>
      <c r="F16" s="39">
        <v>-0.37276587844429498</v>
      </c>
      <c r="G16" s="40">
        <v>4.2930147789999999</v>
      </c>
      <c r="H16" s="40">
        <v>417.93357142857133</v>
      </c>
      <c r="I16" s="40">
        <f>monthly_averages[[#This Row],[CO2City (115m)]]*((monthly_averages[[#This Row],[D14CrefBG (JFJ)]]-monthly_averages[[#This Row],[D14Ccity (115m)]])/(monthly_averages[[#This Row],[D14CrefBG (JFJ)]]+1000))</f>
        <v>2.7948316583844903</v>
      </c>
      <c r="J16" s="41">
        <v>-4.5918717305652903</v>
      </c>
      <c r="K16" s="41">
        <v>8.2910870187873194</v>
      </c>
      <c r="L16" s="42">
        <f>monthly_averages[[#This Row],[CO2City (115m)]]-monthly_averages[[#This Row],[Cbg (JFJ)]]</f>
        <v>15.15590372155458</v>
      </c>
      <c r="M16" s="42">
        <f>monthly_averages[[#This Row],[dC (115 m)]]-monthly_averages[[#This Row],[CO2ff (115m)]]</f>
        <v>12.36107206317009</v>
      </c>
      <c r="N16" s="43">
        <v>3.3503289289999998</v>
      </c>
      <c r="O16" s="44">
        <v>429.89678571428573</v>
      </c>
      <c r="P16" s="44">
        <f>monthly_averages[[#This Row],[CO2 (10m)2]]*((monthly_averages[[#This Row],[D14CrefBG (JFJ)]]-monthly_averages[[#This Row],[D14Ccity (10m)]])/(monthly_averages[[#This Row],[D14CrefBG (JFJ)]]+1000))</f>
        <v>3.2756596144698986</v>
      </c>
      <c r="Q16" s="45">
        <v>-5.0394271923374196</v>
      </c>
      <c r="R16" s="45">
        <v>10.8924443522719</v>
      </c>
      <c r="S16" s="46">
        <f>monthly_averages[[#This Row],[CO2 (10m)2]]-monthly_averages[[#This Row],[Cbg (JFJ)]]</f>
        <v>27.11911800726898</v>
      </c>
      <c r="T16" s="47">
        <f>monthly_averages[[#This Row],[dC(10 m)]]-monthly_averages[[#This Row],[CO2ff (10m)]]</f>
        <v>23.843458392799082</v>
      </c>
      <c r="U16" s="35"/>
      <c r="Z16" s="52"/>
      <c r="AE16" s="54"/>
    </row>
    <row r="17" spans="1:31">
      <c r="A17" s="36">
        <v>2015</v>
      </c>
      <c r="B17" s="37">
        <v>12</v>
      </c>
      <c r="C17" s="38">
        <v>13.4</v>
      </c>
      <c r="D17" s="38">
        <v>406.89299034918429</v>
      </c>
      <c r="E17" s="39">
        <v>0.771189886029501</v>
      </c>
      <c r="F17" s="39">
        <v>3.5450197381279298</v>
      </c>
      <c r="G17" s="40">
        <v>2.0287599319999998</v>
      </c>
      <c r="H17" s="40">
        <v>425.00200000000012</v>
      </c>
      <c r="I17" s="40">
        <f>monthly_averages[[#This Row],[CO2City (115m)]]*((monthly_averages[[#This Row],[D14CrefBG (JFJ)]]-monthly_averages[[#This Row],[D14Ccity (115m)]])/(monthly_averages[[#This Row],[D14CrefBG (JFJ)]]+1000))</f>
        <v>4.7688965575095104</v>
      </c>
      <c r="J17" s="41">
        <v>-6.6072915132035899</v>
      </c>
      <c r="K17" s="41">
        <v>15.144712369036499</v>
      </c>
      <c r="L17" s="42">
        <f>monthly_averages[[#This Row],[CO2City (115m)]]-monthly_averages[[#This Row],[Cbg (JFJ)]]</f>
        <v>18.109009650815835</v>
      </c>
      <c r="M17" s="42">
        <f>monthly_averages[[#This Row],[dC (115 m)]]-monthly_averages[[#This Row],[CO2ff (115m)]]</f>
        <v>13.340113093306325</v>
      </c>
      <c r="N17" s="43">
        <v>0.70832754399999998</v>
      </c>
      <c r="O17" s="44">
        <v>435.26612903225816</v>
      </c>
      <c r="P17" s="44">
        <f>monthly_averages[[#This Row],[CO2 (10m)2]]*((monthly_averages[[#This Row],[D14CrefBG (JFJ)]]-monthly_averages[[#This Row],[D14Ccity (10m)]])/(monthly_averages[[#This Row],[D14CrefBG (JFJ)]]+1000))</f>
        <v>5.4512089410582725</v>
      </c>
      <c r="Q17" s="45">
        <v>-7.42059147387672</v>
      </c>
      <c r="R17" s="45">
        <v>16.029089262129499</v>
      </c>
      <c r="S17" s="46">
        <f>monthly_averages[[#This Row],[CO2 (10m)2]]-monthly_averages[[#This Row],[Cbg (JFJ)]]</f>
        <v>28.373138683073876</v>
      </c>
      <c r="T17" s="47">
        <f>monthly_averages[[#This Row],[dC(10 m)]]-monthly_averages[[#This Row],[CO2ff (10m)]]</f>
        <v>22.921929742015603</v>
      </c>
      <c r="U17" s="35"/>
      <c r="Z17" s="52"/>
      <c r="AE17" s="53"/>
    </row>
    <row r="18" spans="1:31">
      <c r="A18" s="36">
        <v>2016</v>
      </c>
      <c r="B18" s="37">
        <v>1</v>
      </c>
      <c r="C18" s="38">
        <v>10.89</v>
      </c>
      <c r="D18" s="38">
        <v>405.64402249758689</v>
      </c>
      <c r="E18" s="39">
        <v>-1.48557726422201</v>
      </c>
      <c r="F18" s="39">
        <v>2.1028053547001302</v>
      </c>
      <c r="G18" s="40">
        <v>2.6881441160000001</v>
      </c>
      <c r="H18" s="40">
        <v>418.94535714285712</v>
      </c>
      <c r="I18" s="40">
        <f>monthly_averages[[#This Row],[CO2City (115m)]]*((monthly_averages[[#This Row],[D14CrefBG (JFJ)]]-monthly_averages[[#This Row],[D14Ccity (115m)]])/(monthly_averages[[#This Row],[D14CrefBG (JFJ)]]+1000))</f>
        <v>3.3991131008879543</v>
      </c>
      <c r="J18" s="41">
        <v>-5.7027112958418797</v>
      </c>
      <c r="K18" s="41">
        <v>8.8783377192857493</v>
      </c>
      <c r="L18" s="42">
        <f>monthly_averages[[#This Row],[CO2City (115m)]]-monthly_averages[[#This Row],[Cbg (JFJ)]]</f>
        <v>13.301334645270231</v>
      </c>
      <c r="M18" s="42">
        <f>monthly_averages[[#This Row],[dC (115 m)]]-monthly_averages[[#This Row],[CO2ff (115m)]]</f>
        <v>9.902221544382277</v>
      </c>
      <c r="N18" s="43">
        <v>-0.120358405</v>
      </c>
      <c r="O18" s="44">
        <v>427.2178571428571</v>
      </c>
      <c r="P18" s="44">
        <f>monthly_averages[[#This Row],[CO2 (10m)2]]*((monthly_averages[[#This Row],[D14CrefBG (JFJ)]]-monthly_averages[[#This Row],[D14Ccity (10m)]])/(monthly_averages[[#This Row],[D14CrefBG (JFJ)]]+1000))</f>
        <v>4.6531489322863475</v>
      </c>
      <c r="Q18" s="45">
        <v>-7.9917557554160297</v>
      </c>
      <c r="R18" s="45">
        <v>7.7457341719870598</v>
      </c>
      <c r="S18" s="46">
        <f>monthly_averages[[#This Row],[CO2 (10m)2]]-monthly_averages[[#This Row],[Cbg (JFJ)]]</f>
        <v>21.57383464527021</v>
      </c>
      <c r="T18" s="47">
        <f>monthly_averages[[#This Row],[dC(10 m)]]-monthly_averages[[#This Row],[CO2ff (10m)]]</f>
        <v>16.920685712983861</v>
      </c>
      <c r="U18" s="35"/>
      <c r="Z18" s="52"/>
      <c r="AE18" s="53"/>
    </row>
    <row r="19" spans="1:31">
      <c r="A19" s="36">
        <v>2016</v>
      </c>
      <c r="B19" s="37">
        <v>2</v>
      </c>
      <c r="C19" s="38">
        <v>10.85</v>
      </c>
      <c r="D19" s="38">
        <v>408.35330549704241</v>
      </c>
      <c r="E19" s="39">
        <v>-1.2723444144735301</v>
      </c>
      <c r="F19" s="39">
        <v>4.6205909712723798</v>
      </c>
      <c r="G19" s="40">
        <v>8.2145724970000007</v>
      </c>
      <c r="H19" s="40">
        <v>415.65</v>
      </c>
      <c r="I19" s="40">
        <f>monthly_averages[[#This Row],[CO2City (115m)]]*((monthly_averages[[#This Row],[D14CrefBG (JFJ)]]-monthly_averages[[#This Row],[D14Ccity (115m)]])/(monthly_averages[[#This Row],[D14CrefBG (JFJ)]]+1000))</f>
        <v>1.0836577549804121</v>
      </c>
      <c r="J19" s="41">
        <v>6.18689215198239E-2</v>
      </c>
      <c r="K19" s="41">
        <v>5.36196306953497</v>
      </c>
      <c r="L19" s="42">
        <f>monthly_averages[[#This Row],[CO2City (115m)]]-monthly_averages[[#This Row],[Cbg (JFJ)]]</f>
        <v>7.2966945029575641</v>
      </c>
      <c r="M19" s="42">
        <f>monthly_averages[[#This Row],[dC (115 m)]]-monthly_averages[[#This Row],[CO2ff (115m)]]</f>
        <v>6.213036747977152</v>
      </c>
      <c r="N19" s="43">
        <v>2.5432423000000002</v>
      </c>
      <c r="O19" s="44">
        <v>418.00821428571436</v>
      </c>
      <c r="P19" s="44">
        <f>monthly_averages[[#This Row],[CO2 (10m)2]]*((monthly_averages[[#This Row],[D14CrefBG (JFJ)]]-monthly_averages[[#This Row],[D14Ccity (10m)]])/(monthly_averages[[#This Row],[D14CrefBG (JFJ)]]+1000))</f>
        <v>3.4350229536341765</v>
      </c>
      <c r="Q19" s="45">
        <v>-5.0729200369553302</v>
      </c>
      <c r="R19" s="45">
        <v>-1.6976209181554101</v>
      </c>
      <c r="S19" s="46">
        <f>monthly_averages[[#This Row],[CO2 (10m)2]]-monthly_averages[[#This Row],[Cbg (JFJ)]]</f>
        <v>9.6549087886719462</v>
      </c>
      <c r="T19" s="47">
        <f>monthly_averages[[#This Row],[dC(10 m)]]-monthly_averages[[#This Row],[CO2ff (10m)]]</f>
        <v>6.2198858350377701</v>
      </c>
      <c r="U19" s="35"/>
      <c r="Z19" s="52"/>
      <c r="AE19" s="53"/>
    </row>
    <row r="20" spans="1:31">
      <c r="A20" s="36">
        <v>2016</v>
      </c>
      <c r="B20" s="37">
        <v>3</v>
      </c>
      <c r="C20" s="38">
        <v>10.24</v>
      </c>
      <c r="D20" s="38">
        <v>408.93659524026685</v>
      </c>
      <c r="E20" s="39">
        <v>-1.62911156472504</v>
      </c>
      <c r="F20" s="39">
        <v>5.0183765878445596</v>
      </c>
      <c r="G20" s="40">
        <v>7.1274994669999998</v>
      </c>
      <c r="H20" s="40">
        <v>414.048</v>
      </c>
      <c r="I20" s="40">
        <f>monthly_averages[[#This Row],[CO2City (115m)]]*((monthly_averages[[#This Row],[D14CrefBG (JFJ)]]-monthly_averages[[#This Row],[D14Ccity (115m)]])/(monthly_averages[[#This Row],[D14CrefBG (JFJ)]]+1000))</f>
        <v>1.2756618434110549</v>
      </c>
      <c r="J20" s="41">
        <v>-0.77355086111847204</v>
      </c>
      <c r="K20" s="41">
        <v>3.54558841978423</v>
      </c>
      <c r="L20" s="42">
        <f>monthly_averages[[#This Row],[CO2City (115m)]]-monthly_averages[[#This Row],[Cbg (JFJ)]]</f>
        <v>5.1114047597331478</v>
      </c>
      <c r="M20" s="42">
        <f>monthly_averages[[#This Row],[dC (115 m)]]-monthly_averages[[#This Row],[CO2ff (115m)]]</f>
        <v>3.8357429163220926</v>
      </c>
      <c r="N20" s="43">
        <v>8.6058101320000002</v>
      </c>
      <c r="O20" s="44">
        <v>417.27685714285724</v>
      </c>
      <c r="P20" s="44">
        <f>monthly_averages[[#This Row],[CO2 (10m)2]]*((monthly_averages[[#This Row],[D14CrefBG (JFJ)]]-monthly_averages[[#This Row],[D14Ccity (10m)]])/(monthly_averages[[#This Row],[D14CrefBG (JFJ)]]+1000))</f>
        <v>0.67499763629804865</v>
      </c>
      <c r="Q20" s="45">
        <v>1.25591568150537</v>
      </c>
      <c r="R20" s="45">
        <v>-2.66097600829786</v>
      </c>
      <c r="S20" s="46">
        <f>monthly_averages[[#This Row],[CO2 (10m)2]]-monthly_averages[[#This Row],[Cbg (JFJ)]]</f>
        <v>8.3402619025903846</v>
      </c>
      <c r="T20" s="47">
        <f>monthly_averages[[#This Row],[dC(10 m)]]-monthly_averages[[#This Row],[CO2ff (10m)]]</f>
        <v>7.6652642662923363</v>
      </c>
      <c r="U20" s="35"/>
      <c r="Z20" s="52"/>
      <c r="AE20" s="53"/>
    </row>
    <row r="21" spans="1:31">
      <c r="A21" s="36">
        <v>2016</v>
      </c>
      <c r="B21" s="37">
        <v>4</v>
      </c>
      <c r="C21" s="38">
        <v>9.98</v>
      </c>
      <c r="D21" s="38">
        <v>407.75667325137545</v>
      </c>
      <c r="E21" s="39">
        <v>-1.6358787149765499</v>
      </c>
      <c r="F21" s="39">
        <v>3.6461622044167599</v>
      </c>
      <c r="G21" s="40">
        <v>9.3260722380000001</v>
      </c>
      <c r="H21" s="40">
        <v>408.78310344827582</v>
      </c>
      <c r="I21" s="40">
        <f>monthly_averages[[#This Row],[CO2City (115m)]]*((monthly_averages[[#This Row],[D14CrefBG (JFJ)]]-monthly_averages[[#This Row],[D14Ccity (115m)]])/(monthly_averages[[#This Row],[D14CrefBG (JFJ)]]+1000))</f>
        <v>0.2646731816286913</v>
      </c>
      <c r="J21" s="41">
        <v>1.6710293562432299</v>
      </c>
      <c r="K21" s="41">
        <v>-1.9407862299665899</v>
      </c>
      <c r="L21" s="42">
        <f>monthly_averages[[#This Row],[CO2City (115m)]]-monthly_averages[[#This Row],[Cbg (JFJ)]]</f>
        <v>1.0264301969003782</v>
      </c>
      <c r="M21" s="42">
        <f>monthly_averages[[#This Row],[dC (115 m)]]-monthly_averages[[#This Row],[CO2ff (115m)]]</f>
        <v>0.76175701527168682</v>
      </c>
      <c r="N21" s="43">
        <v>6.0800380110000001</v>
      </c>
      <c r="O21" s="44">
        <v>414.15448275862059</v>
      </c>
      <c r="P21" s="44">
        <f>monthly_averages[[#This Row],[CO2 (10m)2]]*((monthly_averages[[#This Row],[D14CrefBG (JFJ)]]-monthly_averages[[#This Row],[D14Ccity (10m)]])/(monthly_averages[[#This Row],[D14CrefBG (JFJ)]]+1000))</f>
        <v>1.5992264602591897</v>
      </c>
      <c r="Q21" s="45">
        <v>-1.01524860003394</v>
      </c>
      <c r="R21" s="45">
        <v>-6.0243310984402898</v>
      </c>
      <c r="S21" s="46">
        <f>monthly_averages[[#This Row],[CO2 (10m)2]]-monthly_averages[[#This Row],[Cbg (JFJ)]]</f>
        <v>6.3978095072451424</v>
      </c>
      <c r="T21" s="47">
        <f>monthly_averages[[#This Row],[dC(10 m)]]-monthly_averages[[#This Row],[CO2ff (10m)]]</f>
        <v>4.7985830469859527</v>
      </c>
      <c r="U21" s="35"/>
      <c r="Z21" s="52"/>
      <c r="AE21" s="53"/>
    </row>
    <row r="22" spans="1:31">
      <c r="A22" s="36">
        <v>2016</v>
      </c>
      <c r="B22" s="37">
        <v>5</v>
      </c>
      <c r="C22" s="38">
        <v>10.11</v>
      </c>
      <c r="D22" s="38">
        <v>406.1895595500115</v>
      </c>
      <c r="E22" s="39">
        <v>-1.2526458652280601</v>
      </c>
      <c r="F22" s="39">
        <v>1.8839478209889799</v>
      </c>
      <c r="G22" s="40">
        <v>9.3260722380000001</v>
      </c>
      <c r="H22" s="40">
        <v>405.41185185185191</v>
      </c>
      <c r="I22" s="40">
        <f>monthly_averages[[#This Row],[CO2City (115m)]]*((monthly_averages[[#This Row],[D14CrefBG (JFJ)]]-monthly_averages[[#This Row],[D14Ccity (115m)]])/(monthly_averages[[#This Row],[D14CrefBG (JFJ)]]+1000))</f>
        <v>0.31463266942263474</v>
      </c>
      <c r="J22" s="41">
        <v>1.9156095736049401</v>
      </c>
      <c r="K22" s="41">
        <v>-5.52716087971731</v>
      </c>
      <c r="L22" s="42">
        <f>monthly_averages[[#This Row],[CO2City (115m)]]-monthly_averages[[#This Row],[Cbg (JFJ)]]</f>
        <v>-0.77770769815958829</v>
      </c>
      <c r="M22" s="42">
        <f>monthly_averages[[#This Row],[dC (115 m)]]-monthly_averages[[#This Row],[CO2ff (115m)]]</f>
        <v>-1.092340367582223</v>
      </c>
      <c r="N22" s="43">
        <v>9.8007210709999999</v>
      </c>
      <c r="O22" s="44">
        <v>414.59296296296304</v>
      </c>
      <c r="P22" s="44">
        <f>monthly_averages[[#This Row],[CO2 (10m)2]]*((monthly_averages[[#This Row],[D14CrefBG (JFJ)]]-monthly_averages[[#This Row],[D14Ccity (10m)]])/(monthly_averages[[#This Row],[D14CrefBG (JFJ)]]+1000))</f>
        <v>0.12694148910130745</v>
      </c>
      <c r="Q22" s="45">
        <v>2.9635871184267599</v>
      </c>
      <c r="R22" s="45">
        <v>-5.81768618858273</v>
      </c>
      <c r="S22" s="46">
        <f>monthly_averages[[#This Row],[CO2 (10m)2]]-monthly_averages[[#This Row],[Cbg (JFJ)]]</f>
        <v>8.4034034129515476</v>
      </c>
      <c r="T22" s="47">
        <f>monthly_averages[[#This Row],[dC(10 m)]]-monthly_averages[[#This Row],[CO2ff (10m)]]</f>
        <v>8.2764619238502402</v>
      </c>
      <c r="U22" s="35"/>
      <c r="Z22" s="52"/>
      <c r="AE22" s="53"/>
    </row>
    <row r="23" spans="1:31">
      <c r="A23" s="36">
        <v>2016</v>
      </c>
      <c r="B23" s="37">
        <v>6</v>
      </c>
      <c r="C23" s="38">
        <v>10.46</v>
      </c>
      <c r="D23" s="38">
        <v>403.7588590431352</v>
      </c>
      <c r="E23" s="39">
        <v>-0.64941301547957497</v>
      </c>
      <c r="F23" s="39">
        <v>-0.73826656243882305</v>
      </c>
      <c r="G23" s="40">
        <v>14.640585</v>
      </c>
      <c r="H23" s="40">
        <v>401.24971428571416</v>
      </c>
      <c r="I23" s="40">
        <f>monthly_averages[[#This Row],[CO2City (115m)]]*((monthly_averages[[#This Row],[D14CrefBG (JFJ)]]-monthly_averages[[#This Row],[D14Ccity (115m)]])/(monthly_averages[[#This Row],[D14CrefBG (JFJ)]]+1000))</f>
        <v>-1.6600939540379054</v>
      </c>
      <c r="J23" s="41">
        <v>7.4701897909666402</v>
      </c>
      <c r="K23" s="41">
        <v>-9.90353552946811</v>
      </c>
      <c r="L23" s="42">
        <f>monthly_averages[[#This Row],[CO2City (115m)]]-monthly_averages[[#This Row],[Cbg (JFJ)]]</f>
        <v>-2.5091447574210406</v>
      </c>
      <c r="M23" s="42">
        <f>monthly_averages[[#This Row],[dC (115 m)]]-monthly_averages[[#This Row],[CO2ff (115m)]]</f>
        <v>-0.84905080338313521</v>
      </c>
      <c r="N23" s="43">
        <v>7.9253998790000004</v>
      </c>
      <c r="O23" s="44">
        <v>417.89914285714286</v>
      </c>
      <c r="P23" s="44">
        <f>monthly_averages[[#This Row],[CO2 (10m)2]]*((monthly_averages[[#This Row],[D14CrefBG (JFJ)]]-monthly_averages[[#This Row],[D14Ccity (10m)]])/(monthly_averages[[#This Row],[D14CrefBG (JFJ)]]+1000))</f>
        <v>1.0482426004507954</v>
      </c>
      <c r="Q23" s="45">
        <v>1.35242283688746</v>
      </c>
      <c r="R23" s="45">
        <v>-2.7410412787251599</v>
      </c>
      <c r="S23" s="46">
        <f>monthly_averages[[#This Row],[CO2 (10m)2]]-monthly_averages[[#This Row],[Cbg (JFJ)]]</f>
        <v>14.14028381400766</v>
      </c>
      <c r="T23" s="47">
        <f>monthly_averages[[#This Row],[dC(10 m)]]-monthly_averages[[#This Row],[CO2ff (10m)]]</f>
        <v>13.092041213556865</v>
      </c>
      <c r="U23" s="35"/>
      <c r="Z23" s="52"/>
      <c r="AE23" s="53"/>
    </row>
    <row r="24" spans="1:31">
      <c r="A24" s="36">
        <v>2016</v>
      </c>
      <c r="B24" s="37">
        <v>7</v>
      </c>
      <c r="C24" s="38">
        <v>12.49</v>
      </c>
      <c r="D24" s="38">
        <v>401.49869374304734</v>
      </c>
      <c r="E24" s="39">
        <v>1.6338198342689101</v>
      </c>
      <c r="F24" s="39">
        <v>-3.1904809458666099</v>
      </c>
      <c r="G24" s="40">
        <v>12.664979110000001</v>
      </c>
      <c r="H24" s="40">
        <v>401.11535714285719</v>
      </c>
      <c r="I24" s="40">
        <f>monthly_averages[[#This Row],[CO2City (115m)]]*((monthly_averages[[#This Row],[D14CrefBG (JFJ)]]-monthly_averages[[#This Row],[D14Ccity (115m)]])/(monthly_averages[[#This Row],[D14CrefBG (JFJ)]]+1000))</f>
        <v>-6.9320989046992618E-2</v>
      </c>
      <c r="J24" s="41">
        <v>5.7347700083283497</v>
      </c>
      <c r="K24" s="41">
        <v>-10.249910179218899</v>
      </c>
      <c r="L24" s="42">
        <f>monthly_averages[[#This Row],[CO2City (115m)]]-monthly_averages[[#This Row],[Cbg (JFJ)]]</f>
        <v>-0.38333660019014815</v>
      </c>
      <c r="M24" s="42">
        <f>monthly_averages[[#This Row],[dC (115 m)]]-monthly_averages[[#This Row],[CO2ff (115m)]]</f>
        <v>-0.31401561114315552</v>
      </c>
      <c r="N24" s="43">
        <v>10.95403585</v>
      </c>
      <c r="O24" s="44">
        <v>416.17642857142863</v>
      </c>
      <c r="P24" s="44">
        <f>monthly_averages[[#This Row],[CO2 (10m)2]]*((monthly_averages[[#This Row],[D14CrefBG (JFJ)]]-monthly_averages[[#This Row],[D14Ccity (10m)]])/(monthly_averages[[#This Row],[D14CrefBG (JFJ)]]+1000))</f>
        <v>0.63134655587783584</v>
      </c>
      <c r="Q24" s="45">
        <v>4.6312585553481602</v>
      </c>
      <c r="R24" s="45">
        <v>-4.6943963688675696</v>
      </c>
      <c r="S24" s="46">
        <f>monthly_averages[[#This Row],[CO2 (10m)2]]-monthly_averages[[#This Row],[Cbg (JFJ)]]</f>
        <v>14.67773482838129</v>
      </c>
      <c r="T24" s="47">
        <f>monthly_averages[[#This Row],[dC(10 m)]]-monthly_averages[[#This Row],[CO2ff (10m)]]</f>
        <v>14.046388272503455</v>
      </c>
      <c r="U24" s="35"/>
      <c r="Z24" s="52"/>
      <c r="AE24" s="53"/>
    </row>
    <row r="25" spans="1:31">
      <c r="A25" s="36">
        <v>2016</v>
      </c>
      <c r="B25" s="37">
        <v>8</v>
      </c>
      <c r="C25" s="38">
        <v>14.145</v>
      </c>
      <c r="D25" s="38">
        <v>399.83736047481881</v>
      </c>
      <c r="E25" s="39">
        <v>3.5470526840173999</v>
      </c>
      <c r="F25" s="39">
        <v>-5.0426953292944203</v>
      </c>
      <c r="G25" s="40">
        <v>13.929301540000001</v>
      </c>
      <c r="H25" s="40">
        <v>398.07347826086954</v>
      </c>
      <c r="I25" s="40">
        <f>monthly_averages[[#This Row],[CO2City (115m)]]*((monthly_averages[[#This Row],[D14CrefBG (JFJ)]]-monthly_averages[[#This Row],[D14Ccity (115m)]])/(monthly_averages[[#This Row],[D14CrefBG (JFJ)]]+1000))</f>
        <v>8.4666232370827169E-2</v>
      </c>
      <c r="J25" s="41">
        <v>7.2493502256900504</v>
      </c>
      <c r="K25" s="41">
        <v>-13.516284828969701</v>
      </c>
      <c r="L25" s="42">
        <f>monthly_averages[[#This Row],[CO2City (115m)]]-monthly_averages[[#This Row],[Cbg (JFJ)]]</f>
        <v>-1.7638822139492731</v>
      </c>
      <c r="M25" s="42">
        <f>monthly_averages[[#This Row],[dC (115 m)]]-monthly_averages[[#This Row],[CO2ff (115m)]]</f>
        <v>-1.8485484463201003</v>
      </c>
      <c r="N25" s="43">
        <v>14.80630951</v>
      </c>
      <c r="O25" s="44">
        <v>413.91363636363644</v>
      </c>
      <c r="P25" s="44">
        <f>monthly_averages[[#This Row],[CO2 (10m)2]]*((monthly_averages[[#This Row],[D14CrefBG (JFJ)]]-monthly_averages[[#This Row],[D14Ccity (10m)]])/(monthly_averages[[#This Row],[D14CrefBG (JFJ)]]+1000))</f>
        <v>-0.26990718688743209</v>
      </c>
      <c r="Q25" s="45">
        <v>8.7500942738088501</v>
      </c>
      <c r="R25" s="45">
        <v>-7.1977514590099902</v>
      </c>
      <c r="S25" s="46">
        <f>monthly_averages[[#This Row],[CO2 (10m)2]]-monthly_averages[[#This Row],[Cbg (JFJ)]]</f>
        <v>14.076275888817634</v>
      </c>
      <c r="T25" s="47">
        <f>monthly_averages[[#This Row],[dC(10 m)]]-monthly_averages[[#This Row],[CO2ff (10m)]]</f>
        <v>14.346183075705065</v>
      </c>
      <c r="U25" s="35"/>
      <c r="Z25" s="52"/>
      <c r="AE25" s="53"/>
    </row>
    <row r="26" spans="1:31">
      <c r="A26" s="36">
        <v>2016</v>
      </c>
      <c r="B26" s="37">
        <v>9</v>
      </c>
      <c r="C26" s="38">
        <v>7.4</v>
      </c>
      <c r="D26" s="38">
        <v>401.36253748550541</v>
      </c>
      <c r="E26" s="39">
        <v>-2.9497144662341102</v>
      </c>
      <c r="F26" s="39">
        <v>-3.71490971272218</v>
      </c>
      <c r="G26" s="40">
        <v>10.960112280000001</v>
      </c>
      <c r="H26" s="40">
        <v>405.71323529411757</v>
      </c>
      <c r="I26" s="40">
        <f>monthly_averages[[#This Row],[CO2City (115m)]]*((monthly_averages[[#This Row],[D14CrefBG (JFJ)]]-monthly_averages[[#This Row],[D14Ccity (115m)]])/(monthly_averages[[#This Row],[D14CrefBG (JFJ)]]+1000))</f>
        <v>-1.4337747380674186</v>
      </c>
      <c r="J26" s="41">
        <v>4.5239304430517597</v>
      </c>
      <c r="K26" s="41">
        <v>-6.09265947872046</v>
      </c>
      <c r="L26" s="42">
        <f>monthly_averages[[#This Row],[CO2City (115m)]]-monthly_averages[[#This Row],[Cbg (JFJ)]]</f>
        <v>4.3506978086121535</v>
      </c>
      <c r="M26" s="42">
        <f>monthly_averages[[#This Row],[dC (115 m)]]-monthly_averages[[#This Row],[CO2ff (115m)]]</f>
        <v>5.7844725466795719</v>
      </c>
      <c r="N26" s="43">
        <v>9.4312230790000005</v>
      </c>
      <c r="O26" s="44">
        <v>424.18441176470589</v>
      </c>
      <c r="P26" s="44">
        <f>monthly_averages[[#This Row],[CO2 (10m)2]]*((monthly_averages[[#This Row],[D14CrefBG (JFJ)]]-monthly_averages[[#This Row],[D14Ccity (10m)]])/(monthly_averages[[#This Row],[D14CrefBG (JFJ)]]+1000))</f>
        <v>-0.85528406484862984</v>
      </c>
      <c r="Q26" s="45">
        <v>3.6289299922695499</v>
      </c>
      <c r="R26" s="45">
        <v>2.8388934508475598</v>
      </c>
      <c r="S26" s="46">
        <f>monthly_averages[[#This Row],[CO2 (10m)2]]-monthly_averages[[#This Row],[Cbg (JFJ)]]</f>
        <v>22.821874279200472</v>
      </c>
      <c r="T26" s="47">
        <f>monthly_averages[[#This Row],[dC(10 m)]]-monthly_averages[[#This Row],[CO2ff (10m)]]</f>
        <v>23.677158344049101</v>
      </c>
      <c r="U26" s="35"/>
      <c r="Z26" s="52"/>
      <c r="AE26" s="53"/>
    </row>
    <row r="27" spans="1:31">
      <c r="A27" s="36">
        <v>2016</v>
      </c>
      <c r="B27" s="37">
        <v>10</v>
      </c>
      <c r="C27" s="38">
        <v>10.119999999999999</v>
      </c>
      <c r="D27" s="38">
        <v>405.6379913055024</v>
      </c>
      <c r="E27" s="39">
        <v>2.3518383514372899E-2</v>
      </c>
      <c r="F27" s="39">
        <v>0.37287590385000302</v>
      </c>
      <c r="G27" s="40">
        <v>9.8897706860000003</v>
      </c>
      <c r="H27" s="40">
        <v>418.21555555555568</v>
      </c>
      <c r="I27" s="40">
        <f>monthly_averages[[#This Row],[CO2City (115m)]]*((monthly_averages[[#This Row],[D14CrefBG (JFJ)]]-monthly_averages[[#This Row],[D14Ccity (115m)]])/(monthly_averages[[#This Row],[D14CrefBG (JFJ)]]+1000))</f>
        <v>9.5320833623415063E-2</v>
      </c>
      <c r="J27" s="41">
        <v>3.6985106604134601</v>
      </c>
      <c r="K27" s="41">
        <v>6.2009658715288101</v>
      </c>
      <c r="L27" s="42">
        <f>monthly_averages[[#This Row],[CO2City (115m)]]-monthly_averages[[#This Row],[Cbg (JFJ)]]</f>
        <v>12.577564250053285</v>
      </c>
      <c r="M27" s="42">
        <f>monthly_averages[[#This Row],[dC (115 m)]]-monthly_averages[[#This Row],[CO2ff (115m)]]</f>
        <v>12.482243416429871</v>
      </c>
      <c r="N27" s="43">
        <v>9.5394083009999999</v>
      </c>
      <c r="O27" s="44">
        <v>427.65555555555557</v>
      </c>
      <c r="P27" s="44">
        <f>monthly_averages[[#This Row],[CO2 (10m)2]]*((monthly_averages[[#This Row],[D14CrefBG (JFJ)]]-monthly_averages[[#This Row],[D14Ccity (10m)]])/(monthly_averages[[#This Row],[D14CrefBG (JFJ)]]+1000))</f>
        <v>0.24580571178353919</v>
      </c>
      <c r="Q27" s="45">
        <v>3.99776571073025</v>
      </c>
      <c r="R27" s="45">
        <v>6.0855383607051401</v>
      </c>
      <c r="S27" s="46">
        <f>monthly_averages[[#This Row],[CO2 (10m)2]]-monthly_averages[[#This Row],[Cbg (JFJ)]]</f>
        <v>22.017564250053169</v>
      </c>
      <c r="T27" s="47">
        <f>monthly_averages[[#This Row],[dC(10 m)]]-monthly_averages[[#This Row],[CO2ff (10m)]]</f>
        <v>21.77175853826963</v>
      </c>
      <c r="U27" s="35"/>
      <c r="Z27" s="52"/>
      <c r="AE27" s="53"/>
    </row>
    <row r="28" spans="1:31">
      <c r="A28" s="36">
        <v>2016</v>
      </c>
      <c r="B28" s="37">
        <v>11</v>
      </c>
      <c r="C28" s="38">
        <v>9.1199999999999992</v>
      </c>
      <c r="D28" s="38">
        <v>407.22181265568457</v>
      </c>
      <c r="E28" s="39">
        <v>-0.72324876673714</v>
      </c>
      <c r="F28" s="39">
        <v>1.76066152042225</v>
      </c>
      <c r="G28" s="40">
        <v>4.5769577449999996</v>
      </c>
      <c r="H28" s="40">
        <v>421.0171428571428</v>
      </c>
      <c r="I28" s="40">
        <f>monthly_averages[[#This Row],[CO2City (115m)]]*((monthly_averages[[#This Row],[D14CrefBG (JFJ)]]-monthly_averages[[#This Row],[D14Ccity (115m)]])/(monthly_averages[[#This Row],[D14CrefBG (JFJ)]]+1000))</f>
        <v>1.8954125080063533</v>
      </c>
      <c r="J28" s="41">
        <v>-1.36690912222483</v>
      </c>
      <c r="K28" s="41">
        <v>8.7845912217779905</v>
      </c>
      <c r="L28" s="42">
        <f>monthly_averages[[#This Row],[CO2City (115m)]]-monthly_averages[[#This Row],[Cbg (JFJ)]]</f>
        <v>13.795330201458228</v>
      </c>
      <c r="M28" s="42">
        <f>monthly_averages[[#This Row],[dC (115 m)]]-monthly_averages[[#This Row],[CO2ff (115m)]]</f>
        <v>11.899917693451874</v>
      </c>
      <c r="N28" s="43">
        <v>-1.139313904</v>
      </c>
      <c r="O28" s="44">
        <v>426.83885714285725</v>
      </c>
      <c r="P28" s="44">
        <f>monthly_averages[[#This Row],[CO2 (10m)2]]*((monthly_averages[[#This Row],[D14CrefBG (JFJ)]]-monthly_averages[[#This Row],[D14Ccity (10m)]])/(monthly_averages[[#This Row],[D14CrefBG (JFJ)]]+1000))</f>
        <v>4.3394976037073736</v>
      </c>
      <c r="Q28" s="45">
        <v>-6.4233985708090504</v>
      </c>
      <c r="R28" s="45">
        <v>5.0321832705626601</v>
      </c>
      <c r="S28" s="46">
        <f>monthly_averages[[#This Row],[CO2 (10m)2]]-monthly_averages[[#This Row],[Cbg (JFJ)]]</f>
        <v>19.617044487172677</v>
      </c>
      <c r="T28" s="47">
        <f>monthly_averages[[#This Row],[dC(10 m)]]-monthly_averages[[#This Row],[CO2ff (10m)]]</f>
        <v>15.277546883465304</v>
      </c>
      <c r="U28" s="35"/>
      <c r="Z28" s="52"/>
      <c r="AE28" s="53"/>
    </row>
    <row r="29" spans="1:31">
      <c r="A29" s="36">
        <v>2016</v>
      </c>
      <c r="B29" s="37">
        <v>12</v>
      </c>
      <c r="C29" s="38">
        <v>12.315000000000001</v>
      </c>
      <c r="D29" s="38">
        <v>407.87084265771688</v>
      </c>
      <c r="E29" s="39">
        <v>2.7299840830113502</v>
      </c>
      <c r="F29" s="39">
        <v>2.2184471369944401</v>
      </c>
      <c r="G29" s="40">
        <v>-5.3822455849999997</v>
      </c>
      <c r="H29" s="40">
        <v>425.59071428571423</v>
      </c>
      <c r="I29" s="40">
        <f>monthly_averages[[#This Row],[CO2City (115m)]]*((monthly_averages[[#This Row],[D14CrefBG (JFJ)]]-monthly_averages[[#This Row],[D14Ccity (115m)]])/(monthly_averages[[#This Row],[D14CrefBG (JFJ)]]+1000))</f>
        <v>7.4401578455420037</v>
      </c>
      <c r="J29" s="41">
        <v>-11.0823289048631</v>
      </c>
      <c r="K29" s="41">
        <v>13.138216572027201</v>
      </c>
      <c r="L29" s="42">
        <f>monthly_averages[[#This Row],[CO2City (115m)]]-monthly_averages[[#This Row],[Cbg (JFJ)]]</f>
        <v>17.71987162799735</v>
      </c>
      <c r="M29" s="42">
        <f>monthly_averages[[#This Row],[dC (115 m)]]-monthly_averages[[#This Row],[CO2ff (115m)]]</f>
        <v>10.279713782455346</v>
      </c>
      <c r="N29" s="43">
        <v>-0.36847472599999997</v>
      </c>
      <c r="O29" s="44">
        <v>432.48607142857145</v>
      </c>
      <c r="P29" s="44">
        <f>monthly_averages[[#This Row],[CO2 (10m)2]]*((monthly_averages[[#This Row],[D14CrefBG (JFJ)]]-monthly_averages[[#This Row],[D14Ccity (10m)]])/(monthly_averages[[#This Row],[D14CrefBG (JFJ)]]+1000))</f>
        <v>5.4186949282696757</v>
      </c>
      <c r="Q29" s="45">
        <v>-5.3945628523483604</v>
      </c>
      <c r="R29" s="45">
        <v>10.4488281804203</v>
      </c>
      <c r="S29" s="46">
        <f>monthly_averages[[#This Row],[CO2 (10m)2]]-monthly_averages[[#This Row],[Cbg (JFJ)]]</f>
        <v>24.615228770854571</v>
      </c>
      <c r="T29" s="47">
        <f>monthly_averages[[#This Row],[dC(10 m)]]-monthly_averages[[#This Row],[CO2ff (10m)]]</f>
        <v>19.196533842584895</v>
      </c>
      <c r="U29" s="35"/>
      <c r="Z29" s="52"/>
      <c r="AE29" s="53"/>
    </row>
    <row r="30" spans="1:31">
      <c r="A30" s="36">
        <v>2017</v>
      </c>
      <c r="B30" s="37">
        <v>1</v>
      </c>
      <c r="C30" s="38">
        <v>7.59</v>
      </c>
      <c r="D30" s="38">
        <v>409.97156684472662</v>
      </c>
      <c r="E30" s="39">
        <v>-1.7467830672401601</v>
      </c>
      <c r="F30" s="39">
        <v>4.1262327535666703</v>
      </c>
      <c r="G30" s="40">
        <v>-4.6204311310000001</v>
      </c>
      <c r="H30" s="40">
        <v>424.67392857142858</v>
      </c>
      <c r="I30" s="40">
        <f>monthly_averages[[#This Row],[CO2City (115m)]]*((monthly_averages[[#This Row],[D14CrefBG (JFJ)]]-monthly_averages[[#This Row],[D14Ccity (115m)]])/(monthly_averages[[#This Row],[D14CrefBG (JFJ)]]+1000))</f>
        <v>5.1463906528971526</v>
      </c>
      <c r="J30" s="41">
        <v>-10.0777486875014</v>
      </c>
      <c r="K30" s="41">
        <v>12.001841922276499</v>
      </c>
      <c r="L30" s="42">
        <f>monthly_averages[[#This Row],[CO2City (115m)]]-monthly_averages[[#This Row],[Cbg (JFJ)]]</f>
        <v>14.702361726701952</v>
      </c>
      <c r="M30" s="42">
        <f>monthly_averages[[#This Row],[dC (115 m)]]-monthly_averages[[#This Row],[CO2ff (115m)]]</f>
        <v>9.5559710738047983</v>
      </c>
      <c r="N30" s="43">
        <v>-1.7953329739999999</v>
      </c>
      <c r="O30" s="44">
        <v>427.92464285714283</v>
      </c>
      <c r="P30" s="44">
        <f>monthly_averages[[#This Row],[CO2 (10m)2]]*((monthly_averages[[#This Row],[D14CrefBG (JFJ)]]-monthly_averages[[#This Row],[D14Ccity (10m)]])/(monthly_averages[[#This Row],[D14CrefBG (JFJ)]]+1000))</f>
        <v>3.985961810849965</v>
      </c>
      <c r="Q30" s="45">
        <v>-6.5657271338876599</v>
      </c>
      <c r="R30" s="45">
        <v>5.6454730902778296</v>
      </c>
      <c r="S30" s="46">
        <f>monthly_averages[[#This Row],[CO2 (10m)2]]-monthly_averages[[#This Row],[Cbg (JFJ)]]</f>
        <v>17.953076012416204</v>
      </c>
      <c r="T30" s="47">
        <f>monthly_averages[[#This Row],[dC(10 m)]]-monthly_averages[[#This Row],[CO2ff (10m)]]</f>
        <v>13.96711420156624</v>
      </c>
      <c r="U30" s="35"/>
      <c r="Z30" s="52"/>
      <c r="AE30" s="53"/>
    </row>
    <row r="31" spans="1:31">
      <c r="A31" s="36">
        <v>2017</v>
      </c>
      <c r="B31" s="37">
        <v>2</v>
      </c>
      <c r="C31" s="38">
        <v>8.31</v>
      </c>
      <c r="D31" s="38">
        <v>410.09078826054139</v>
      </c>
      <c r="E31" s="39">
        <v>-0.77355021749167696</v>
      </c>
      <c r="F31" s="39">
        <v>4.0540183701388202</v>
      </c>
      <c r="G31" s="40">
        <v>-2.2459174489999998</v>
      </c>
      <c r="H31" s="40">
        <v>423.42107142857145</v>
      </c>
      <c r="I31" s="40">
        <f>monthly_averages[[#This Row],[CO2City (115m)]]*((monthly_averages[[#This Row],[D14CrefBG (JFJ)]]-monthly_averages[[#This Row],[D14Ccity (115m)]])/(monthly_averages[[#This Row],[D14CrefBG (JFJ)]]+1000))</f>
        <v>4.4327616270463785</v>
      </c>
      <c r="J31" s="41">
        <v>-7.4631684701397196</v>
      </c>
      <c r="K31" s="41">
        <v>10.5354672725257</v>
      </c>
      <c r="L31" s="42">
        <f>monthly_averages[[#This Row],[CO2City (115m)]]-monthly_averages[[#This Row],[Cbg (JFJ)]]</f>
        <v>13.330283168030064</v>
      </c>
      <c r="M31" s="42">
        <f>monthly_averages[[#This Row],[dC (115 m)]]-monthly_averages[[#This Row],[CO2ff (115m)]]</f>
        <v>8.8975215409836856</v>
      </c>
      <c r="N31" s="43">
        <v>1.504370848</v>
      </c>
      <c r="O31" s="44">
        <v>427.23321428571427</v>
      </c>
      <c r="P31" s="44">
        <f>monthly_averages[[#This Row],[CO2 (10m)2]]*((monthly_averages[[#This Row],[D14CrefBG (JFJ)]]-monthly_averages[[#This Row],[D14Ccity (10m)]])/(monthly_averages[[#This Row],[D14CrefBG (JFJ)]]+1000))</f>
        <v>2.8836278702437945</v>
      </c>
      <c r="Q31" s="45">
        <v>-3.0068914154269599</v>
      </c>
      <c r="R31" s="45">
        <v>4.7221180001353904</v>
      </c>
      <c r="S31" s="46">
        <f>monthly_averages[[#This Row],[CO2 (10m)2]]-monthly_averages[[#This Row],[Cbg (JFJ)]]</f>
        <v>17.142426025172881</v>
      </c>
      <c r="T31" s="47">
        <f>monthly_averages[[#This Row],[dC(10 m)]]-monthly_averages[[#This Row],[CO2ff (10m)]]</f>
        <v>14.258798154929087</v>
      </c>
      <c r="U31" s="35"/>
      <c r="Z31" s="52"/>
      <c r="AE31" s="53"/>
    </row>
    <row r="32" spans="1:31">
      <c r="A32" s="36">
        <v>2017</v>
      </c>
      <c r="B32" s="37">
        <v>3</v>
      </c>
      <c r="C32" s="38">
        <v>9.0599999999999987</v>
      </c>
      <c r="D32" s="38">
        <v>410.21752088902923</v>
      </c>
      <c r="E32" s="39">
        <v>0.22968263225681099</v>
      </c>
      <c r="F32" s="39">
        <v>3.9918039867110799</v>
      </c>
      <c r="G32" s="40">
        <v>4.3396140699999997</v>
      </c>
      <c r="H32" s="40">
        <v>416.46657894736848</v>
      </c>
      <c r="I32" s="40">
        <f>monthly_averages[[#This Row],[CO2City (115m)]]*((monthly_averages[[#This Row],[D14CrefBG (JFJ)]]-monthly_averages[[#This Row],[D14Ccity (115m)]])/(monthly_averages[[#This Row],[D14CrefBG (JFJ)]]+1000))</f>
        <v>1.9482319976794167</v>
      </c>
      <c r="J32" s="41">
        <v>-0.628588252778013</v>
      </c>
      <c r="K32" s="41">
        <v>3.36909262277493</v>
      </c>
      <c r="L32" s="42">
        <f>monthly_averages[[#This Row],[CO2City (115m)]]-monthly_averages[[#This Row],[Cbg (JFJ)]]</f>
        <v>6.2490580583392443</v>
      </c>
      <c r="M32" s="42">
        <f>monthly_averages[[#This Row],[dC (115 m)]]-monthly_averages[[#This Row],[CO2ff (115m)]]</f>
        <v>4.3008260606598281</v>
      </c>
      <c r="N32" s="43">
        <v>2.4214227579999998</v>
      </c>
      <c r="O32" s="44">
        <v>422.09552631578953</v>
      </c>
      <c r="P32" s="44">
        <f>monthly_averages[[#This Row],[CO2 (10m)2]]*((monthly_averages[[#This Row],[D14CrefBG (JFJ)]]-monthly_averages[[#This Row],[D14Ccity (10m)]])/(monthly_averages[[#This Row],[D14CrefBG (JFJ)]]+1000))</f>
        <v>2.7769545467563992</v>
      </c>
      <c r="Q32" s="45">
        <v>-1.82805569696627</v>
      </c>
      <c r="R32" s="45">
        <v>-0.64123709000703899</v>
      </c>
      <c r="S32" s="46">
        <f>monthly_averages[[#This Row],[CO2 (10m)2]]-monthly_averages[[#This Row],[Cbg (JFJ)]]</f>
        <v>11.878005426760296</v>
      </c>
      <c r="T32" s="47">
        <f>monthly_averages[[#This Row],[dC(10 m)]]-monthly_averages[[#This Row],[CO2ff (10m)]]</f>
        <v>9.1010508800038963</v>
      </c>
      <c r="U32" s="35"/>
      <c r="Z32" s="52"/>
      <c r="AE32" s="53"/>
    </row>
    <row r="33" spans="1:31">
      <c r="A33" s="36">
        <v>2017</v>
      </c>
      <c r="B33" s="37">
        <v>4</v>
      </c>
      <c r="C33" s="38">
        <v>7.26</v>
      </c>
      <c r="D33" s="38">
        <v>411.1961186433353</v>
      </c>
      <c r="E33" s="39">
        <v>-1.3170845179946999</v>
      </c>
      <c r="F33" s="39">
        <v>4.7795896032832497</v>
      </c>
      <c r="G33" s="40">
        <v>1.0608312660000001</v>
      </c>
      <c r="H33" s="40">
        <v>413.11444444444442</v>
      </c>
      <c r="I33" s="40">
        <f>monthly_averages[[#This Row],[CO2City (115m)]]*((monthly_averages[[#This Row],[D14CrefBG (JFJ)]]-monthly_averages[[#This Row],[D14Ccity (115m)]])/(monthly_averages[[#This Row],[D14CrefBG (JFJ)]]+1000))</f>
        <v>2.5425075428030297</v>
      </c>
      <c r="J33" s="41">
        <v>-3.6640080354163098</v>
      </c>
      <c r="K33" s="41">
        <v>-0.20728202697585801</v>
      </c>
      <c r="L33" s="42">
        <f>monthly_averages[[#This Row],[CO2City (115m)]]-monthly_averages[[#This Row],[Cbg (JFJ)]]</f>
        <v>1.9183258011091198</v>
      </c>
      <c r="M33" s="42">
        <f>monthly_averages[[#This Row],[dC (115 m)]]-monthly_averages[[#This Row],[CO2ff (115m)]]</f>
        <v>-0.62418174169390994</v>
      </c>
      <c r="N33" s="43">
        <v>-2.3610050239999998</v>
      </c>
      <c r="O33" s="44">
        <v>419.76777777777784</v>
      </c>
      <c r="P33" s="44">
        <f>monthly_averages[[#This Row],[CO2 (10m)2]]*((monthly_averages[[#This Row],[D14CrefBG (JFJ)]]-monthly_averages[[#This Row],[D14Ccity (10m)]])/(monthly_averages[[#This Row],[D14CrefBG (JFJ)]]+1000))</f>
        <v>4.0094790807868037</v>
      </c>
      <c r="Q33" s="45">
        <v>-6.3492199785055696</v>
      </c>
      <c r="R33" s="45">
        <v>-3.2045921801495201</v>
      </c>
      <c r="S33" s="46">
        <f>monthly_averages[[#This Row],[CO2 (10m)2]]-monthly_averages[[#This Row],[Cbg (JFJ)]]</f>
        <v>8.571659134442541</v>
      </c>
      <c r="T33" s="47">
        <f>monthly_averages[[#This Row],[dC(10 m)]]-monthly_averages[[#This Row],[CO2ff (10m)]]</f>
        <v>4.5621800536557373</v>
      </c>
      <c r="U33" s="35"/>
      <c r="Z33" s="52"/>
      <c r="AE33" s="53"/>
    </row>
    <row r="34" spans="1:31">
      <c r="A34" s="36">
        <v>2017</v>
      </c>
      <c r="B34" s="37">
        <v>5</v>
      </c>
      <c r="C34" s="38">
        <v>7.04</v>
      </c>
      <c r="D34" s="38">
        <v>409.44739154346223</v>
      </c>
      <c r="E34" s="39">
        <v>-1.28385166824622</v>
      </c>
      <c r="F34" s="39">
        <v>2.8373752198554598</v>
      </c>
      <c r="G34" s="40">
        <v>8.3084265599999991</v>
      </c>
      <c r="H34" s="40">
        <v>407.96350000000001</v>
      </c>
      <c r="I34" s="40">
        <f>monthly_averages[[#This Row],[CO2City (115m)]]*((monthly_averages[[#This Row],[D14CrefBG (JFJ)]]-monthly_averages[[#This Row],[D14Ccity (115m)]])/(monthly_averages[[#This Row],[D14CrefBG (JFJ)]]+1000))</f>
        <v>-0.51385420530521098</v>
      </c>
      <c r="J34" s="41">
        <v>3.8305721819454002</v>
      </c>
      <c r="K34" s="41">
        <v>-5.57365667672667</v>
      </c>
      <c r="L34" s="42">
        <f>monthly_averages[[#This Row],[CO2City (115m)]]-monthly_averages[[#This Row],[Cbg (JFJ)]]</f>
        <v>-1.4838915434622209</v>
      </c>
      <c r="M34" s="42">
        <f>monthly_averages[[#This Row],[dC (115 m)]]-monthly_averages[[#This Row],[CO2ff (115m)]]</f>
        <v>-0.97003733815700988</v>
      </c>
      <c r="N34" s="43">
        <v>4.684187788</v>
      </c>
      <c r="O34" s="44">
        <v>416.10649999999998</v>
      </c>
      <c r="P34" s="44">
        <f>monthly_averages[[#This Row],[CO2 (10m)2]]*((monthly_averages[[#This Row],[D14CrefBG (JFJ)]]-monthly_averages[[#This Row],[D14Ccity (10m)]])/(monthly_averages[[#This Row],[D14CrefBG (JFJ)]]+1000))</f>
        <v>0.97341592607302396</v>
      </c>
      <c r="Q34" s="45">
        <v>0.94961573995512805</v>
      </c>
      <c r="R34" s="45">
        <v>-7.09794727029192</v>
      </c>
      <c r="S34" s="46">
        <f>monthly_averages[[#This Row],[CO2 (10m)2]]-monthly_averages[[#This Row],[Cbg (JFJ)]]</f>
        <v>6.6591084565377514</v>
      </c>
      <c r="T34" s="47">
        <f>monthly_averages[[#This Row],[dC(10 m)]]-monthly_averages[[#This Row],[CO2ff (10m)]]</f>
        <v>5.6856925304647277</v>
      </c>
      <c r="U34" s="35"/>
      <c r="Z34" s="52"/>
      <c r="AE34" s="53"/>
    </row>
    <row r="35" spans="1:31">
      <c r="A35" s="36">
        <v>2017</v>
      </c>
      <c r="B35" s="37">
        <v>6</v>
      </c>
      <c r="C35" s="38">
        <v>10.684999999999999</v>
      </c>
      <c r="D35" s="38">
        <v>405.86691007598438</v>
      </c>
      <c r="E35" s="39">
        <v>2.6193811815022698</v>
      </c>
      <c r="F35" s="39">
        <v>-0.934839163572317</v>
      </c>
      <c r="G35" s="40">
        <v>5.4307178980000002</v>
      </c>
      <c r="H35" s="40">
        <v>405.30228571428569</v>
      </c>
      <c r="I35" s="40">
        <f>monthly_averages[[#This Row],[CO2City (115m)]]*((monthly_averages[[#This Row],[D14CrefBG (JFJ)]]-monthly_averages[[#This Row],[D14Ccity (115m)]])/(monthly_averages[[#This Row],[D14CrefBG (JFJ)]]+1000))</f>
        <v>2.1070586243273235</v>
      </c>
      <c r="J35" s="41">
        <v>1.1951523993071</v>
      </c>
      <c r="K35" s="41">
        <v>-8.4500313264774096</v>
      </c>
      <c r="L35" s="42">
        <f>monthly_averages[[#This Row],[CO2City (115m)]]-monthly_averages[[#This Row],[Cbg (JFJ)]]</f>
        <v>-0.56462436169869079</v>
      </c>
      <c r="M35" s="42">
        <f>monthly_averages[[#This Row],[dC (115 m)]]-monthly_averages[[#This Row],[CO2ff (115m)]]</f>
        <v>-2.6716829860260143</v>
      </c>
      <c r="N35" s="43">
        <v>8.3515938139999992</v>
      </c>
      <c r="O35" s="44">
        <v>414.80228571428574</v>
      </c>
      <c r="P35" s="44">
        <f>monthly_averages[[#This Row],[CO2 (10m)2]]*((monthly_averages[[#This Row],[D14CrefBG (JFJ)]]-monthly_averages[[#This Row],[D14Ccity (10m)]])/(monthly_averages[[#This Row],[D14CrefBG (JFJ)]]+1000))</f>
        <v>0.95766952062477784</v>
      </c>
      <c r="Q35" s="45">
        <v>4.8784514584158298</v>
      </c>
      <c r="R35" s="45">
        <v>-8.6413023604343593</v>
      </c>
      <c r="S35" s="46">
        <f>monthly_averages[[#This Row],[CO2 (10m)2]]-monthly_averages[[#This Row],[Cbg (JFJ)]]</f>
        <v>8.9353756383013661</v>
      </c>
      <c r="T35" s="47">
        <f>monthly_averages[[#This Row],[dC(10 m)]]-monthly_averages[[#This Row],[CO2ff (10m)]]</f>
        <v>7.977706117676588</v>
      </c>
      <c r="U35" s="35"/>
      <c r="Z35" s="52"/>
      <c r="AE35" s="53"/>
    </row>
    <row r="36" spans="1:31">
      <c r="A36" s="36">
        <v>2017</v>
      </c>
      <c r="B36" s="37">
        <v>7</v>
      </c>
      <c r="C36" s="38">
        <v>7.169999999999999</v>
      </c>
      <c r="D36" s="38">
        <v>402.23601596399448</v>
      </c>
      <c r="E36" s="39">
        <v>-0.64738596874924104</v>
      </c>
      <c r="F36" s="39">
        <v>-4.7570535470001003</v>
      </c>
      <c r="G36" s="40">
        <v>6.8560980239999996</v>
      </c>
      <c r="H36" s="40">
        <v>405.12642857142845</v>
      </c>
      <c r="I36" s="40">
        <f>monthly_averages[[#This Row],[CO2City (115m)]]*((monthly_averages[[#This Row],[D14CrefBG (JFJ)]]-monthly_averages[[#This Row],[D14Ccity (115m)]])/(monthly_averages[[#This Row],[D14CrefBG (JFJ)]]+1000))</f>
        <v>0.12626466878321838</v>
      </c>
      <c r="J36" s="41">
        <v>2.8697326166688102</v>
      </c>
      <c r="K36" s="41">
        <v>-8.8364059762281997</v>
      </c>
      <c r="L36" s="42">
        <f>monthly_averages[[#This Row],[CO2City (115m)]]-monthly_averages[[#This Row],[Cbg (JFJ)]]</f>
        <v>2.8904126074339729</v>
      </c>
      <c r="M36" s="42">
        <f>monthly_averages[[#This Row],[dC (115 m)]]-monthly_averages[[#This Row],[CO2ff (115m)]]</f>
        <v>2.7641479386507544</v>
      </c>
      <c r="N36" s="43">
        <v>7.395840196</v>
      </c>
      <c r="O36" s="44">
        <v>419.0814285714286</v>
      </c>
      <c r="P36" s="44">
        <f>monthly_averages[[#This Row],[CO2 (10m)2]]*((monthly_averages[[#This Row],[D14CrefBG (JFJ)]]-monthly_averages[[#This Row],[D14Ccity (10m)]])/(monthly_averages[[#This Row],[D14CrefBG (JFJ)]]+1000))</f>
        <v>-9.3971655200742507E-2</v>
      </c>
      <c r="Q36" s="45">
        <v>4.1872871768765201</v>
      </c>
      <c r="R36" s="45">
        <v>-4.5946574505768201</v>
      </c>
      <c r="S36" s="46">
        <f>monthly_averages[[#This Row],[CO2 (10m)2]]-monthly_averages[[#This Row],[Cbg (JFJ)]]</f>
        <v>16.845412607434127</v>
      </c>
      <c r="T36" s="47">
        <f>monthly_averages[[#This Row],[dC(10 m)]]-monthly_averages[[#This Row],[CO2ff (10m)]]</f>
        <v>16.939384262634871</v>
      </c>
      <c r="U36" s="35"/>
      <c r="Z36" s="52"/>
      <c r="AE36" s="53"/>
    </row>
    <row r="37" spans="1:31">
      <c r="A37" s="36">
        <v>2017</v>
      </c>
      <c r="B37" s="37">
        <v>8</v>
      </c>
      <c r="C37" s="38">
        <v>7.55</v>
      </c>
      <c r="D37" s="38">
        <v>401.66270819323</v>
      </c>
      <c r="E37" s="39">
        <v>-1.41531190007534E-2</v>
      </c>
      <c r="F37" s="39">
        <v>-5.5292679304278796</v>
      </c>
      <c r="G37" s="40">
        <v>16.513438539999999</v>
      </c>
      <c r="H37" s="40">
        <v>403.85916666666662</v>
      </c>
      <c r="I37" s="40">
        <f>monthly_averages[[#This Row],[CO2City (115m)]]*((monthly_averages[[#This Row],[D14CrefBG (JFJ)]]-monthly_averages[[#This Row],[D14Ccity (115m)]])/(monthly_averages[[#This Row],[D14CrefBG (JFJ)]]+1000))</f>
        <v>-3.5928408706588084</v>
      </c>
      <c r="J37" s="41">
        <v>12.7643128340305</v>
      </c>
      <c r="K37" s="41">
        <v>-10.322780625979</v>
      </c>
      <c r="L37" s="42">
        <f>monthly_averages[[#This Row],[CO2City (115m)]]-monthly_averages[[#This Row],[Cbg (JFJ)]]</f>
        <v>2.1964584734366213</v>
      </c>
      <c r="M37" s="42">
        <f>monthly_averages[[#This Row],[dC (115 m)]]-monthly_averages[[#This Row],[CO2ff (115m)]]</f>
        <v>5.7892993440954292</v>
      </c>
      <c r="N37" s="43">
        <v>11.32917116</v>
      </c>
      <c r="O37" s="44">
        <v>416.28166666666669</v>
      </c>
      <c r="P37" s="44">
        <f>monthly_averages[[#This Row],[CO2 (10m)2]]*((monthly_averages[[#This Row],[D14CrefBG (JFJ)]]-monthly_averages[[#This Row],[D14Ccity (10m)]])/(monthly_averages[[#This Row],[D14CrefBG (JFJ)]]+1000))</f>
        <v>-1.5614110159331052</v>
      </c>
      <c r="Q37" s="45">
        <v>8.37612289533722</v>
      </c>
      <c r="R37" s="45">
        <v>-7.6280125407192703</v>
      </c>
      <c r="S37" s="46">
        <f>monthly_averages[[#This Row],[CO2 (10m)2]]-monthly_averages[[#This Row],[Cbg (JFJ)]]</f>
        <v>14.618958473436692</v>
      </c>
      <c r="T37" s="47">
        <f>monthly_averages[[#This Row],[dC(10 m)]]-monthly_averages[[#This Row],[CO2ff (10m)]]</f>
        <v>16.180369489369795</v>
      </c>
      <c r="U37" s="35"/>
      <c r="Z37" s="52"/>
      <c r="AE37" s="53"/>
    </row>
    <row r="38" spans="1:31">
      <c r="A38" s="36">
        <v>2017</v>
      </c>
      <c r="B38" s="37">
        <v>9</v>
      </c>
      <c r="C38" s="38">
        <v>7.165</v>
      </c>
      <c r="D38" s="38">
        <v>400.46905353032861</v>
      </c>
      <c r="E38" s="39">
        <v>-0.140920269252266</v>
      </c>
      <c r="F38" s="39">
        <v>-6.9114823138556698</v>
      </c>
      <c r="G38" s="40">
        <v>14.75297314</v>
      </c>
      <c r="H38" s="40">
        <v>406.8</v>
      </c>
      <c r="I38" s="40">
        <f>monthly_averages[[#This Row],[CO2City (115m)]]*((monthly_averages[[#This Row],[D14CrefBG (JFJ)]]-monthly_averages[[#This Row],[D14Ccity (115m)]])/(monthly_averages[[#This Row],[D14CrefBG (JFJ)]]+1000))</f>
        <v>-3.0648279808690733</v>
      </c>
      <c r="J38" s="41">
        <v>11.2488930513922</v>
      </c>
      <c r="K38" s="41">
        <v>-7.59915527572974</v>
      </c>
      <c r="L38" s="42">
        <f>monthly_averages[[#This Row],[CO2City (115m)]]-monthly_averages[[#This Row],[Cbg (JFJ)]]</f>
        <v>6.3309464696714031</v>
      </c>
      <c r="M38" s="42">
        <f>monthly_averages[[#This Row],[dC (115 m)]]-monthly_averages[[#This Row],[CO2ff (115m)]]</f>
        <v>9.3957744505404754</v>
      </c>
      <c r="N38" s="43">
        <v>11.27290719</v>
      </c>
      <c r="O38" s="44">
        <v>418.51416666666665</v>
      </c>
      <c r="P38" s="44">
        <f>monthly_averages[[#This Row],[CO2 (10m)2]]*((monthly_averages[[#This Row],[D14CrefBG (JFJ)]]-monthly_averages[[#This Row],[D14Ccity (10m)]])/(monthly_averages[[#This Row],[D14CrefBG (JFJ)]]+1000))</f>
        <v>-1.7069867939879348</v>
      </c>
      <c r="Q38" s="45">
        <v>8.5749586137979197</v>
      </c>
      <c r="R38" s="45">
        <v>-5.6313676308616802</v>
      </c>
      <c r="S38" s="46">
        <f>monthly_averages[[#This Row],[CO2 (10m)2]]-monthly_averages[[#This Row],[Cbg (JFJ)]]</f>
        <v>18.045113136338045</v>
      </c>
      <c r="T38" s="47">
        <f>monthly_averages[[#This Row],[dC(10 m)]]-monthly_averages[[#This Row],[CO2ff (10m)]]</f>
        <v>19.752099930325979</v>
      </c>
      <c r="U38" s="35"/>
      <c r="Z38" s="52"/>
      <c r="AE38" s="53"/>
    </row>
    <row r="39" spans="1:31">
      <c r="A39" s="36">
        <v>2017</v>
      </c>
      <c r="B39" s="37">
        <v>10</v>
      </c>
      <c r="C39" s="38">
        <v>7.97</v>
      </c>
      <c r="D39" s="38">
        <v>403.24243773680297</v>
      </c>
      <c r="E39" s="39">
        <v>0.91231258049622099</v>
      </c>
      <c r="F39" s="39">
        <v>-4.3336966972834796</v>
      </c>
      <c r="G39" s="55"/>
      <c r="H39" s="40">
        <v>416.78137931034473</v>
      </c>
      <c r="J39" s="41" t="s">
        <v>158</v>
      </c>
      <c r="K39" s="41">
        <v>2.1644700745194498</v>
      </c>
      <c r="L39" s="42">
        <f>monthly_averages[[#This Row],[CO2City (115m)]]-monthly_averages[[#This Row],[Cbg (JFJ)]]</f>
        <v>13.538941573541763</v>
      </c>
      <c r="M39" s="42"/>
      <c r="N39" s="43">
        <v>9.9418304749999997</v>
      </c>
      <c r="O39" s="44">
        <v>429.22103448275863</v>
      </c>
      <c r="P39" s="44">
        <f>monthly_averages[[#This Row],[CO2 (10m)2]]*((monthly_averages[[#This Row],[D14CrefBG (JFJ)]]-monthly_averages[[#This Row],[D14Ccity (10m)]])/(monthly_averages[[#This Row],[D14CrefBG (JFJ)]]+1000))</f>
        <v>-0.83965903380470575</v>
      </c>
      <c r="Q39" s="45">
        <v>7.50379433225861</v>
      </c>
      <c r="R39" s="45">
        <v>4.84527727899592</v>
      </c>
      <c r="S39" s="46">
        <f>monthly_averages[[#This Row],[CO2 (10m)2]]-monthly_averages[[#This Row],[Cbg (JFJ)]]</f>
        <v>25.978596745955656</v>
      </c>
      <c r="T39" s="47">
        <f>monthly_averages[[#This Row],[dC(10 m)]]-monthly_averages[[#This Row],[CO2ff (10m)]]</f>
        <v>26.81825577976036</v>
      </c>
      <c r="U39" s="35"/>
      <c r="Z39" s="52"/>
      <c r="AE39" s="53"/>
    </row>
    <row r="40" spans="1:31">
      <c r="A40" s="36">
        <v>2017</v>
      </c>
      <c r="B40" s="37">
        <v>11</v>
      </c>
      <c r="C40" s="38">
        <v>10.690000000000001</v>
      </c>
      <c r="D40" s="38">
        <v>407.62934454928143</v>
      </c>
      <c r="E40" s="39">
        <v>3.8855454302447101</v>
      </c>
      <c r="F40" s="39">
        <v>-0.13591108071128799</v>
      </c>
      <c r="G40" s="55"/>
      <c r="H40" s="40">
        <v>422.85916666666662</v>
      </c>
      <c r="J40" s="41" t="s">
        <v>158</v>
      </c>
      <c r="K40" s="41">
        <v>8.0280954247687095</v>
      </c>
      <c r="L40" s="42">
        <f>monthly_averages[[#This Row],[CO2City (115m)]]-monthly_averages[[#This Row],[Cbg (JFJ)]]</f>
        <v>15.229822117385197</v>
      </c>
      <c r="M40" s="42"/>
      <c r="N40" s="43">
        <v>1.2171431989999999</v>
      </c>
      <c r="O40" s="44">
        <v>429.60444444444443</v>
      </c>
      <c r="P40" s="44">
        <f>monthly_averages[[#This Row],[CO2 (10m)2]]*((monthly_averages[[#This Row],[D14CrefBG (JFJ)]]-monthly_averages[[#This Row],[D14Ccity (10m)]])/(monthly_averages[[#This Row],[D14CrefBG (JFJ)]]+1000))</f>
        <v>4.02653769533228</v>
      </c>
      <c r="Q40" s="45">
        <v>-0.95736994928068897</v>
      </c>
      <c r="R40" s="45">
        <v>4.9919221888534802</v>
      </c>
      <c r="S40" s="46">
        <f>monthly_averages[[#This Row],[CO2 (10m)2]]-monthly_averages[[#This Row],[Cbg (JFJ)]]</f>
        <v>21.975099895162998</v>
      </c>
      <c r="T40" s="47">
        <f>monthly_averages[[#This Row],[dC(10 m)]]-monthly_averages[[#This Row],[CO2ff (10m)]]</f>
        <v>17.948562199830718</v>
      </c>
      <c r="U40" s="35"/>
      <c r="Z40" s="52"/>
      <c r="AE40" s="53"/>
    </row>
    <row r="41" spans="1:31">
      <c r="A41" s="36">
        <v>2017</v>
      </c>
      <c r="B41" s="37">
        <v>12</v>
      </c>
      <c r="C41" s="38">
        <v>8.39</v>
      </c>
      <c r="D41" s="38">
        <v>409.33419526838668</v>
      </c>
      <c r="E41" s="39">
        <v>1.8387782799932</v>
      </c>
      <c r="F41" s="39">
        <v>1.3718745358609099</v>
      </c>
      <c r="G41" s="40">
        <v>3.593042595</v>
      </c>
      <c r="H41" s="40">
        <v>419.18730769230763</v>
      </c>
      <c r="I41" s="40">
        <f>monthly_averages[[#This Row],[CO2City (115m)]]*((monthly_averages[[#This Row],[D14CrefBG (JFJ)]]-monthly_averages[[#This Row],[D14Ccity (115m)]])/(monthly_averages[[#This Row],[D14CrefBG (JFJ)]]+1000))</f>
        <v>1.9940932176207904</v>
      </c>
      <c r="J41" s="41">
        <v>0.822633703477331</v>
      </c>
      <c r="K41" s="41">
        <v>4.1417207750179204</v>
      </c>
      <c r="L41" s="42">
        <f>monthly_averages[[#This Row],[CO2City (115m)]]-monthly_averages[[#This Row],[Cbg (JFJ)]]</f>
        <v>9.8531124239209475</v>
      </c>
      <c r="M41" s="42">
        <f>monthly_averages[[#This Row],[dC (115 m)]]-monthly_averages[[#This Row],[CO2ff (115m)]]</f>
        <v>7.8590192063001574</v>
      </c>
      <c r="N41" s="43">
        <v>1.6262782490000001</v>
      </c>
      <c r="O41" s="44">
        <v>425.40961538461539</v>
      </c>
      <c r="P41" s="44">
        <f>monthly_averages[[#This Row],[CO2 (10m)2]]*((monthly_averages[[#This Row],[D14CrefBG (JFJ)]]-monthly_averages[[#This Row],[D14Ccity (10m)]])/(monthly_averages[[#This Row],[D14CrefBG (JFJ)]]+1000))</f>
        <v>2.8534121408001543</v>
      </c>
      <c r="Q41" s="45">
        <v>-0.28853423081999202</v>
      </c>
      <c r="R41" s="45">
        <v>0.56856709871104405</v>
      </c>
      <c r="S41" s="46">
        <f>monthly_averages[[#This Row],[CO2 (10m)2]]-monthly_averages[[#This Row],[Cbg (JFJ)]]</f>
        <v>16.075420116228713</v>
      </c>
      <c r="T41" s="47">
        <f>monthly_averages[[#This Row],[dC(10 m)]]-monthly_averages[[#This Row],[CO2ff (10m)]]</f>
        <v>13.222007975428559</v>
      </c>
      <c r="U41" s="35"/>
      <c r="Z41" s="52"/>
      <c r="AE41" s="53"/>
    </row>
    <row r="42" spans="1:31">
      <c r="A42" s="36">
        <v>2018</v>
      </c>
      <c r="B42" s="37">
        <v>1</v>
      </c>
      <c r="C42" s="38">
        <v>6.71</v>
      </c>
      <c r="D42" s="38">
        <v>409.29046427654822</v>
      </c>
      <c r="E42" s="39">
        <v>0.41201112974168302</v>
      </c>
      <c r="F42" s="39">
        <v>1.13966015243315</v>
      </c>
      <c r="G42" s="40">
        <v>0.94563907899999999</v>
      </c>
      <c r="H42" s="40">
        <v>422.28133333333335</v>
      </c>
      <c r="I42" s="40">
        <f>monthly_averages[[#This Row],[CO2City (115m)]]*((monthly_averages[[#This Row],[D14CrefBG (JFJ)]]-monthly_averages[[#This Row],[D14Ccity (115m)]])/(monthly_averages[[#This Row],[D14CrefBG (JFJ)]]+1000))</f>
        <v>2.4179575205714072</v>
      </c>
      <c r="J42" s="41">
        <v>-1.57278607916096</v>
      </c>
      <c r="K42" s="41">
        <v>7.0153461252671203</v>
      </c>
      <c r="L42" s="42">
        <f>monthly_averages[[#This Row],[CO2City (115m)]]-monthly_averages[[#This Row],[Cbg (JFJ)]]</f>
        <v>12.990869056785129</v>
      </c>
      <c r="M42" s="42">
        <f>monthly_averages[[#This Row],[dC (115 m)]]-monthly_averages[[#This Row],[CO2ff (115m)]]</f>
        <v>10.572911536213722</v>
      </c>
      <c r="N42" s="43">
        <v>-0.47321207799999998</v>
      </c>
      <c r="O42" s="44">
        <v>425.95566666666673</v>
      </c>
      <c r="P42" s="44">
        <f>monthly_averages[[#This Row],[CO2 (10m)2]]*((monthly_averages[[#This Row],[D14CrefBG (JFJ)]]-monthly_averages[[#This Row],[D14Ccity (10m)]])/(monthly_averages[[#This Row],[D14CrefBG (JFJ)]]+1000))</f>
        <v>3.0393359452995821</v>
      </c>
      <c r="Q42" s="45">
        <v>-2.12969851235929</v>
      </c>
      <c r="R42" s="45">
        <v>0.88521200856856297</v>
      </c>
      <c r="S42" s="46">
        <f>monthly_averages[[#This Row],[CO2 (10m)2]]-monthly_averages[[#This Row],[Cbg (JFJ)]]</f>
        <v>16.665202390118509</v>
      </c>
      <c r="T42" s="47">
        <f>monthly_averages[[#This Row],[dC(10 m)]]-monthly_averages[[#This Row],[CO2ff (10m)]]</f>
        <v>13.625866444818927</v>
      </c>
      <c r="U42" s="35"/>
      <c r="Z42" s="56"/>
      <c r="AE42" s="53"/>
    </row>
    <row r="43" spans="1:31">
      <c r="A43" s="36">
        <v>2018</v>
      </c>
      <c r="B43" s="37">
        <v>2</v>
      </c>
      <c r="C43" s="38">
        <v>6.9749999999999996</v>
      </c>
      <c r="D43" s="38">
        <v>411.77932401528648</v>
      </c>
      <c r="E43" s="39">
        <v>0.93524397949017102</v>
      </c>
      <c r="F43" s="39">
        <v>3.43744576900531</v>
      </c>
      <c r="G43" s="40">
        <v>-7.2535271689999998</v>
      </c>
      <c r="H43" s="40">
        <v>425.22999999999996</v>
      </c>
      <c r="I43" s="40">
        <f>monthly_averages[[#This Row],[CO2City (115m)]]*((monthly_averages[[#This Row],[D14CrefBG (JFJ)]]-monthly_averages[[#This Row],[D14Ccity (115m)]])/(monthly_averages[[#This Row],[D14CrefBG (JFJ)]]+1000))</f>
        <v>6.0084874084002768</v>
      </c>
      <c r="J43" s="41">
        <v>-9.5282058617992593</v>
      </c>
      <c r="K43" s="41">
        <v>9.7489714755163899</v>
      </c>
      <c r="L43" s="42">
        <f>monthly_averages[[#This Row],[CO2City (115m)]]-monthly_averages[[#This Row],[Cbg (JFJ)]]</f>
        <v>13.450675984713484</v>
      </c>
      <c r="M43" s="42">
        <f>monthly_averages[[#This Row],[dC (115 m)]]-monthly_averages[[#This Row],[CO2ff (115m)]]</f>
        <v>7.4421885763132076</v>
      </c>
      <c r="N43" s="43">
        <v>-4.7197782100000003</v>
      </c>
      <c r="O43" s="44">
        <v>427.13888888888891</v>
      </c>
      <c r="P43" s="44">
        <f>monthly_averages[[#This Row],[CO2 (10m)2]]*((monthly_averages[[#This Row],[D14CrefBG (JFJ)]]-monthly_averages[[#This Row],[D14Ccity (10m)]])/(monthly_averages[[#This Row],[D14CrefBG (JFJ)]]+1000))</f>
        <v>4.9606937316431772</v>
      </c>
      <c r="Q43" s="45">
        <v>-6.1208627938986</v>
      </c>
      <c r="R43" s="45">
        <v>1.83185691842613</v>
      </c>
      <c r="S43" s="46">
        <f>monthly_averages[[#This Row],[CO2 (10m)2]]-monthly_averages[[#This Row],[Cbg (JFJ)]]</f>
        <v>15.359564873602437</v>
      </c>
      <c r="T43" s="47">
        <f>monthly_averages[[#This Row],[dC(10 m)]]-monthly_averages[[#This Row],[CO2ff (10m)]]</f>
        <v>10.39887114195926</v>
      </c>
      <c r="U43" s="35"/>
      <c r="Z43" s="56"/>
      <c r="AE43" s="53"/>
    </row>
    <row r="44" spans="1:31">
      <c r="A44" s="36">
        <v>2018</v>
      </c>
      <c r="B44" s="37">
        <v>3</v>
      </c>
      <c r="C44" s="38">
        <v>3.91</v>
      </c>
      <c r="D44" s="38">
        <v>412.91968741642967</v>
      </c>
      <c r="E44" s="39">
        <v>-1.88152317076134</v>
      </c>
      <c r="F44" s="39">
        <v>4.3852313855775602</v>
      </c>
      <c r="G44" s="40">
        <v>-6.8848475000000002</v>
      </c>
      <c r="H44" s="40">
        <v>422.26647058823522</v>
      </c>
      <c r="I44" s="40">
        <f>monthly_averages[[#This Row],[CO2City (115m)]]*((monthly_averages[[#This Row],[D14CrefBG (JFJ)]]-monthly_averages[[#This Row],[D14Ccity (115m)]])/(monthly_averages[[#This Row],[D14CrefBG (JFJ)]]+1000))</f>
        <v>4.5405486093008678</v>
      </c>
      <c r="J44" s="41">
        <v>-8.9136256444375501</v>
      </c>
      <c r="K44" s="41">
        <v>6.5725968257655802</v>
      </c>
      <c r="L44" s="42">
        <f>monthly_averages[[#This Row],[CO2City (115m)]]-monthly_averages[[#This Row],[Cbg (JFJ)]]</f>
        <v>9.346783171805555</v>
      </c>
      <c r="M44" s="42">
        <f>monthly_averages[[#This Row],[dC (115 m)]]-monthly_averages[[#This Row],[CO2ff (115m)]]</f>
        <v>4.8062345625046872</v>
      </c>
      <c r="N44" s="43">
        <v>-5.1932188620000002</v>
      </c>
      <c r="O44" s="44">
        <v>424.75823529411764</v>
      </c>
      <c r="P44" s="44">
        <f>monthly_averages[[#This Row],[CO2 (10m)2]]*((monthly_averages[[#This Row],[D14CrefBG (JFJ)]]-monthly_averages[[#This Row],[D14Ccity (10m)]])/(monthly_averages[[#This Row],[D14CrefBG (JFJ)]]+1000))</f>
        <v>3.8516073944071141</v>
      </c>
      <c r="Q44" s="45">
        <v>-6.3320270754379004</v>
      </c>
      <c r="R44" s="45">
        <v>-0.78149817171629699</v>
      </c>
      <c r="S44" s="46">
        <f>monthly_averages[[#This Row],[CO2 (10m)2]]-monthly_averages[[#This Row],[Cbg (JFJ)]]</f>
        <v>11.838547877687972</v>
      </c>
      <c r="T44" s="47">
        <f>monthly_averages[[#This Row],[dC(10 m)]]-monthly_averages[[#This Row],[CO2ff (10m)]]</f>
        <v>7.9869404832808577</v>
      </c>
      <c r="U44" s="35"/>
      <c r="Z44" s="52"/>
      <c r="AE44" s="53"/>
    </row>
    <row r="45" spans="1:31">
      <c r="A45" s="36">
        <v>2018</v>
      </c>
      <c r="B45" s="37">
        <v>4</v>
      </c>
      <c r="C45" s="38">
        <v>4.8149999999999995</v>
      </c>
      <c r="D45" s="38">
        <v>412.18259070178942</v>
      </c>
      <c r="E45" s="39">
        <v>-0.71829032101285395</v>
      </c>
      <c r="F45" s="39">
        <v>3.4530170021497599</v>
      </c>
      <c r="G45" s="40">
        <v>10.794626360000001</v>
      </c>
      <c r="H45" s="40">
        <v>416.6774999999999</v>
      </c>
      <c r="I45" s="40">
        <f>monthly_averages[[#This Row],[CO2City (115m)]]*((monthly_averages[[#This Row],[D14CrefBG (JFJ)]]-monthly_averages[[#This Row],[D14Ccity (115m)]])/(monthly_averages[[#This Row],[D14CrefBG (JFJ)]]+1000))</f>
        <v>-2.4796363137681063</v>
      </c>
      <c r="J45" s="41">
        <v>9.0009545729241491</v>
      </c>
      <c r="K45" s="41">
        <v>0.76622217601482501</v>
      </c>
      <c r="L45" s="42">
        <f>monthly_averages[[#This Row],[CO2City (115m)]]-monthly_averages[[#This Row],[Cbg (JFJ)]]</f>
        <v>4.494909298210473</v>
      </c>
      <c r="M45" s="42">
        <f>monthly_averages[[#This Row],[dC (115 m)]]-monthly_averages[[#This Row],[CO2ff (115m)]]</f>
        <v>6.9745456119785789</v>
      </c>
      <c r="N45" s="43">
        <v>2.5148249219999999</v>
      </c>
      <c r="O45" s="44">
        <v>426.50999999999993</v>
      </c>
      <c r="P45" s="44">
        <f>monthly_averages[[#This Row],[CO2 (10m)2]]*((monthly_averages[[#This Row],[D14CrefBG (JFJ)]]-monthly_averages[[#This Row],[D14Ccity (10m)]])/(monthly_averages[[#This Row],[D14CrefBG (JFJ)]]+1000))</f>
        <v>0.97634656381301999</v>
      </c>
      <c r="Q45" s="45">
        <v>1.6268086430227999</v>
      </c>
      <c r="R45" s="45">
        <v>0.73514673814126696</v>
      </c>
      <c r="S45" s="46">
        <f>monthly_averages[[#This Row],[CO2 (10m)2]]-monthly_averages[[#This Row],[Cbg (JFJ)]]</f>
        <v>14.327409298210512</v>
      </c>
      <c r="T45" s="47">
        <f>monthly_averages[[#This Row],[dC(10 m)]]-monthly_averages[[#This Row],[CO2ff (10m)]]</f>
        <v>13.351062734397491</v>
      </c>
      <c r="U45" s="35"/>
      <c r="Z45" s="52"/>
      <c r="AE45" s="53"/>
    </row>
    <row r="46" spans="1:31">
      <c r="A46" s="36">
        <v>2018</v>
      </c>
      <c r="B46" s="37">
        <v>5</v>
      </c>
      <c r="C46" s="38">
        <v>6.375</v>
      </c>
      <c r="D46" s="38">
        <v>409.43267328738335</v>
      </c>
      <c r="E46" s="39">
        <v>1.09494252873563</v>
      </c>
      <c r="F46" s="39">
        <v>0.51080261872196997</v>
      </c>
      <c r="G46" s="40">
        <v>5.5847522820000002</v>
      </c>
      <c r="H46" s="40">
        <v>407.86857142857144</v>
      </c>
      <c r="I46" s="40">
        <f>monthly_averages[[#This Row],[CO2City (115m)]]*((monthly_averages[[#This Row],[D14CrefBG (JFJ)]]-monthly_averages[[#This Row],[D14Ccity (115m)]])/(monthly_averages[[#This Row],[D14CrefBG (JFJ)]]+1000))</f>
        <v>0.3202754518100594</v>
      </c>
      <c r="J46" s="41">
        <v>4.03553479028586</v>
      </c>
      <c r="K46" s="41">
        <v>-8.2601524737359497</v>
      </c>
      <c r="L46" s="42">
        <f>monthly_averages[[#This Row],[CO2City (115m)]]-monthly_averages[[#This Row],[Cbg (JFJ)]]</f>
        <v>-1.5641018588119096</v>
      </c>
      <c r="M46" s="42">
        <f>monthly_averages[[#This Row],[dC (115 m)]]-monthly_averages[[#This Row],[CO2ff (115m)]]</f>
        <v>-1.884377310621969</v>
      </c>
      <c r="N46" s="43">
        <v>6.1035946670000003</v>
      </c>
      <c r="O46" s="44">
        <v>427.58028571428571</v>
      </c>
      <c r="P46" s="44">
        <f>monthly_averages[[#This Row],[CO2 (10m)2]]*((monthly_averages[[#This Row],[D14CrefBG (JFJ)]]-monthly_averages[[#This Row],[D14Ccity (10m)]])/(monthly_averages[[#This Row],[D14CrefBG (JFJ)]]+1000))</f>
        <v>0.1153124529410217</v>
      </c>
      <c r="Q46" s="45">
        <v>5.4756443614834902</v>
      </c>
      <c r="R46" s="45">
        <v>1.5717916479988301</v>
      </c>
      <c r="S46" s="46">
        <f>monthly_averages[[#This Row],[CO2 (10m)2]]-monthly_averages[[#This Row],[Cbg (JFJ)]]</f>
        <v>18.147612426902356</v>
      </c>
      <c r="T46" s="47">
        <f>monthly_averages[[#This Row],[dC(10 m)]]-monthly_averages[[#This Row],[CO2ff (10m)]]</f>
        <v>18.032299973961333</v>
      </c>
      <c r="U46" s="35"/>
      <c r="Z46" s="52"/>
      <c r="AE46" s="53"/>
    </row>
    <row r="47" spans="1:31">
      <c r="A47" s="36">
        <v>2018</v>
      </c>
      <c r="B47" s="37">
        <v>6</v>
      </c>
      <c r="C47" s="38">
        <v>3.456666666666667</v>
      </c>
      <c r="D47" s="38">
        <v>408.84368419840098</v>
      </c>
      <c r="E47" s="39">
        <v>-1.57182462151588</v>
      </c>
      <c r="F47" s="39">
        <v>-0.27141176470585399</v>
      </c>
      <c r="G47" s="40">
        <v>6.4937342109999996</v>
      </c>
      <c r="H47" s="40">
        <v>405.43285714285724</v>
      </c>
      <c r="I47" s="40">
        <f>monthly_averages[[#This Row],[CO2City (115m)]]*((monthly_averages[[#This Row],[D14CrefBG (JFJ)]]-monthly_averages[[#This Row],[D14Ccity (115m)]])/(monthly_averages[[#This Row],[D14CrefBG (JFJ)]]+1000))</f>
        <v>-1.2270853468193985</v>
      </c>
      <c r="J47" s="41">
        <v>5.1901150076475604</v>
      </c>
      <c r="K47" s="41">
        <v>-10.9165271234867</v>
      </c>
      <c r="L47" s="42">
        <f>monthly_averages[[#This Row],[CO2City (115m)]]-monthly_averages[[#This Row],[Cbg (JFJ)]]</f>
        <v>-3.4108270555437343</v>
      </c>
      <c r="M47" s="42">
        <f>monthly_averages[[#This Row],[dC (115 m)]]-monthly_averages[[#This Row],[CO2ff (115m)]]</f>
        <v>-2.1837417087243356</v>
      </c>
      <c r="N47" s="43">
        <v>9.9075884989999992</v>
      </c>
      <c r="O47" s="44">
        <v>416.72071428571422</v>
      </c>
      <c r="P47" s="44">
        <f>monthly_averages[[#This Row],[CO2 (10m)2]]*((monthly_averages[[#This Row],[D14CrefBG (JFJ)]]-monthly_averages[[#This Row],[D14Ccity (10m)]])/(monthly_averages[[#This Row],[D14CrefBG (JFJ)]]+1000))</f>
        <v>-2.6789724390403049</v>
      </c>
      <c r="Q47" s="45">
        <v>9.54448007994419</v>
      </c>
      <c r="R47" s="45">
        <v>-9.5215634421435702</v>
      </c>
      <c r="S47" s="46">
        <f>monthly_averages[[#This Row],[CO2 (10m)2]]-monthly_averages[[#This Row],[Cbg (JFJ)]]</f>
        <v>7.8770300873132442</v>
      </c>
      <c r="T47" s="47">
        <f>monthly_averages[[#This Row],[dC(10 m)]]-monthly_averages[[#This Row],[CO2ff (10m)]]</f>
        <v>10.556002526353549</v>
      </c>
      <c r="U47" s="35"/>
      <c r="Z47" s="52"/>
      <c r="AE47" s="53"/>
    </row>
    <row r="48" spans="1:31">
      <c r="A48" s="36">
        <v>2018</v>
      </c>
      <c r="B48" s="37">
        <v>7</v>
      </c>
      <c r="C48" s="38">
        <v>4.3450000000000006</v>
      </c>
      <c r="D48" s="38">
        <v>404.03595218018251</v>
      </c>
      <c r="E48" s="39">
        <v>-0.42859177176739299</v>
      </c>
      <c r="F48" s="39">
        <v>-5.2636261481336</v>
      </c>
      <c r="G48" s="40">
        <v>-1.9653381000000001E-2</v>
      </c>
      <c r="H48" s="40">
        <v>406.30624999999992</v>
      </c>
      <c r="I48" s="40">
        <f>monthly_averages[[#This Row],[CO2City (115m)]]*((monthly_averages[[#This Row],[D14CrefBG (JFJ)]]-monthly_averages[[#This Row],[D14Ccity (115m)]])/(monthly_averages[[#This Row],[D14CrefBG (JFJ)]]+1000))</f>
        <v>1.7657139207980637</v>
      </c>
      <c r="J48" s="41">
        <v>-1.0753047749907301</v>
      </c>
      <c r="K48" s="41">
        <v>-10.2529017732375</v>
      </c>
      <c r="L48" s="42">
        <f>monthly_averages[[#This Row],[CO2City (115m)]]-monthly_averages[[#This Row],[Cbg (JFJ)]]</f>
        <v>2.2702978198174151</v>
      </c>
      <c r="M48" s="42">
        <f>monthly_averages[[#This Row],[dC (115 m)]]-monthly_averages[[#This Row],[CO2ff (115m)]]</f>
        <v>0.50458389901935141</v>
      </c>
      <c r="N48" s="43">
        <v>7.4966719279999996</v>
      </c>
      <c r="O48" s="44">
        <v>423.26875000000013</v>
      </c>
      <c r="P48" s="44">
        <f>monthly_averages[[#This Row],[CO2 (10m)2]]*((monthly_averages[[#This Row],[D14CrefBG (JFJ)]]-monthly_averages[[#This Row],[D14Ccity (10m)]])/(monthly_averages[[#This Row],[D14CrefBG (JFJ)]]+1000))</f>
        <v>-1.3282330647084915</v>
      </c>
      <c r="Q48" s="45">
        <v>7.3933157984048901</v>
      </c>
      <c r="R48" s="45">
        <v>-3.2049185322860501</v>
      </c>
      <c r="S48" s="46">
        <f>monthly_averages[[#This Row],[CO2 (10m)2]]-monthly_averages[[#This Row],[Cbg (JFJ)]]</f>
        <v>19.23279781981762</v>
      </c>
      <c r="T48" s="47">
        <f>monthly_averages[[#This Row],[dC(10 m)]]-monthly_averages[[#This Row],[CO2ff (10m)]]</f>
        <v>20.561030884526112</v>
      </c>
      <c r="U48" s="35"/>
      <c r="Z48" s="52"/>
      <c r="AE48" s="53"/>
    </row>
    <row r="49" spans="1:31">
      <c r="A49" s="36">
        <v>2018</v>
      </c>
      <c r="B49" s="37">
        <v>8</v>
      </c>
      <c r="C49" s="38">
        <v>7.4050000000000002</v>
      </c>
      <c r="D49" s="38">
        <v>403.634766307066</v>
      </c>
      <c r="E49" s="39">
        <v>2.8846410779810898</v>
      </c>
      <c r="F49" s="39">
        <v>-5.8658405315614202</v>
      </c>
      <c r="G49" s="40">
        <v>2.8804678899999998</v>
      </c>
      <c r="H49" s="40">
        <v>406.88000000000005</v>
      </c>
      <c r="I49" s="40">
        <f>monthly_averages[[#This Row],[CO2City (115m)]]*((monthly_averages[[#This Row],[D14CrefBG (JFJ)]]-monthly_averages[[#This Row],[D14Ccity (115m)]])/(monthly_averages[[#This Row],[D14CrefBG (JFJ)]]+1000))</f>
        <v>1.8274096564110764</v>
      </c>
      <c r="J49" s="41">
        <v>2.0692754423709698</v>
      </c>
      <c r="K49" s="41">
        <v>-9.8992764229882901</v>
      </c>
      <c r="L49" s="42">
        <f>monthly_averages[[#This Row],[CO2City (115m)]]-monthly_averages[[#This Row],[Cbg (JFJ)]]</f>
        <v>3.2452336929340504</v>
      </c>
      <c r="M49" s="42">
        <f>monthly_averages[[#This Row],[dC (115 m)]]-monthly_averages[[#This Row],[CO2ff (115m)]]</f>
        <v>1.417824036522974</v>
      </c>
      <c r="N49" s="43">
        <v>6.5467188380000003</v>
      </c>
      <c r="O49" s="44">
        <v>424.02833333333331</v>
      </c>
      <c r="P49" s="44">
        <f>monthly_averages[[#This Row],[CO2 (10m)2]]*((monthly_averages[[#This Row],[D14CrefBG (JFJ)]]-monthly_averages[[#This Row],[D14Ccity (10m)]])/(monthly_averages[[#This Row],[D14CrefBG (JFJ)]]+1000))</f>
        <v>0.36126039741142502</v>
      </c>
      <c r="Q49" s="45">
        <v>6.7021515168655901</v>
      </c>
      <c r="R49" s="45">
        <v>-2.67827362242849</v>
      </c>
      <c r="S49" s="46">
        <f>monthly_averages[[#This Row],[CO2 (10m)2]]-monthly_averages[[#This Row],[Cbg (JFJ)]]</f>
        <v>20.393567026267306</v>
      </c>
      <c r="T49" s="47">
        <f>monthly_averages[[#This Row],[dC(10 m)]]-monthly_averages[[#This Row],[CO2ff (10m)]]</f>
        <v>20.032306628855881</v>
      </c>
      <c r="U49" s="35"/>
      <c r="Z49" s="52"/>
      <c r="AE49" s="53"/>
    </row>
    <row r="50" spans="1:31">
      <c r="A50" s="36">
        <v>2018</v>
      </c>
      <c r="B50" s="37">
        <v>9</v>
      </c>
      <c r="C50" s="38">
        <v>3.9</v>
      </c>
      <c r="D50" s="38">
        <v>405.04220261986654</v>
      </c>
      <c r="E50" s="39">
        <v>-0.372126072270418</v>
      </c>
      <c r="F50" s="39">
        <v>-4.6480549149891903</v>
      </c>
      <c r="G50" s="40">
        <v>5.857667738</v>
      </c>
      <c r="H50" s="40">
        <v>409.06392857142868</v>
      </c>
      <c r="I50" s="40">
        <f>monthly_averages[[#This Row],[CO2City (115m)]]*((monthly_averages[[#This Row],[D14CrefBG (JFJ)]]-monthly_averages[[#This Row],[D14Ccity (115m)]])/(monthly_averages[[#This Row],[D14CrefBG (JFJ)]]+1000))</f>
        <v>-0.79770022486684167</v>
      </c>
      <c r="J50" s="41">
        <v>5.2938556597326798</v>
      </c>
      <c r="K50" s="41">
        <v>-7.9356510727390601</v>
      </c>
      <c r="L50" s="42">
        <f>monthly_averages[[#This Row],[CO2City (115m)]]-monthly_averages[[#This Row],[Cbg (JFJ)]]</f>
        <v>4.0217259515621322</v>
      </c>
      <c r="M50" s="42">
        <f>monthly_averages[[#This Row],[dC (115 m)]]-monthly_averages[[#This Row],[CO2ff (115m)]]</f>
        <v>4.8194261764289736</v>
      </c>
      <c r="N50" s="43">
        <v>-0.60936849900000001</v>
      </c>
      <c r="O50" s="44">
        <v>427.30928571428586</v>
      </c>
      <c r="P50" s="44">
        <f>monthly_averages[[#This Row],[CO2 (10m)2]]*((monthly_averages[[#This Row],[D14CrefBG (JFJ)]]-monthly_averages[[#This Row],[D14Ccity (10m)]])/(monthly_averages[[#This Row],[D14CrefBG (JFJ)]]+1000))</f>
        <v>1.919409335920103</v>
      </c>
      <c r="Q50" s="45">
        <v>-0.19901276467371701</v>
      </c>
      <c r="R50" s="45">
        <v>0.36837128742910102</v>
      </c>
      <c r="S50" s="46">
        <f>monthly_averages[[#This Row],[CO2 (10m)2]]-monthly_averages[[#This Row],[Cbg (JFJ)]]</f>
        <v>22.26708309441932</v>
      </c>
      <c r="T50" s="47">
        <f>monthly_averages[[#This Row],[dC(10 m)]]-monthly_averages[[#This Row],[CO2ff (10m)]]</f>
        <v>20.347673758499216</v>
      </c>
      <c r="U50" s="35"/>
      <c r="Z50" s="52"/>
      <c r="AE50" s="53"/>
    </row>
    <row r="51" spans="1:31">
      <c r="A51" s="36">
        <v>2018</v>
      </c>
      <c r="B51" s="37">
        <v>10</v>
      </c>
      <c r="C51" s="38">
        <v>4.29</v>
      </c>
      <c r="D51" s="38">
        <v>407.88569130679343</v>
      </c>
      <c r="E51" s="39">
        <v>0.27110677747806899</v>
      </c>
      <c r="F51" s="39">
        <v>-1.9902692984170101</v>
      </c>
      <c r="G51" s="40">
        <v>2.9579825980000001</v>
      </c>
      <c r="H51" s="40">
        <v>416.08892857142865</v>
      </c>
      <c r="I51" s="40">
        <f>monthly_averages[[#This Row],[CO2City (115m)]]*((monthly_averages[[#This Row],[D14CrefBG (JFJ)]]-monthly_averages[[#This Row],[D14Ccity (115m)]])/(monthly_averages[[#This Row],[D14CrefBG (JFJ)]]+1000))</f>
        <v>0.55187017060478349</v>
      </c>
      <c r="J51" s="41">
        <v>2.6384358770943801</v>
      </c>
      <c r="K51" s="41">
        <v>-1.12202572248986</v>
      </c>
      <c r="L51" s="42">
        <f>monthly_averages[[#This Row],[CO2City (115m)]]-monthly_averages[[#This Row],[Cbg (JFJ)]]</f>
        <v>8.2032372646352201</v>
      </c>
      <c r="M51" s="42">
        <f>monthly_averages[[#This Row],[dC (115 m)]]-monthly_averages[[#This Row],[CO2ff (115m)]]</f>
        <v>7.6513670940304364</v>
      </c>
      <c r="N51" s="43">
        <v>-3.6823005110000002</v>
      </c>
      <c r="O51" s="44">
        <v>428.28321428571434</v>
      </c>
      <c r="P51" s="44">
        <f>monthly_averages[[#This Row],[CO2 (10m)2]]*((monthly_averages[[#This Row],[D14CrefBG (JFJ)]]-monthly_averages[[#This Row],[D14Ccity (10m)]])/(monthly_averages[[#This Row],[D14CrefBG (JFJ)]]+1000))</f>
        <v>3.399817272005818</v>
      </c>
      <c r="Q51" s="45">
        <v>-3.0101770462130202</v>
      </c>
      <c r="R51" s="45">
        <v>1.1050161972866399</v>
      </c>
      <c r="S51" s="46">
        <f>monthly_averages[[#This Row],[CO2 (10m)2]]-monthly_averages[[#This Row],[Cbg (JFJ)]]</f>
        <v>20.397522978920904</v>
      </c>
      <c r="T51" s="47">
        <f>monthly_averages[[#This Row],[dC(10 m)]]-monthly_averages[[#This Row],[CO2ff (10m)]]</f>
        <v>16.997705706915085</v>
      </c>
      <c r="U51" s="35"/>
      <c r="Z51" s="52"/>
      <c r="AE51" s="53"/>
    </row>
    <row r="52" spans="1:31">
      <c r="A52" s="36">
        <v>2018</v>
      </c>
      <c r="B52" s="37">
        <v>11</v>
      </c>
      <c r="C52" s="38">
        <v>3.91</v>
      </c>
      <c r="D52" s="38">
        <v>411.19368969332589</v>
      </c>
      <c r="E52" s="39">
        <v>0.14433962722655699</v>
      </c>
      <c r="F52" s="39">
        <v>1.1175163181552099</v>
      </c>
      <c r="G52" s="40">
        <v>-3.7727133359999998</v>
      </c>
      <c r="H52" s="40">
        <v>429.78628571428584</v>
      </c>
      <c r="I52" s="40">
        <f>monthly_averages[[#This Row],[CO2City (115m)]]*((monthly_averages[[#This Row],[D14CrefBG (JFJ)]]-monthly_averages[[#This Row],[D14Ccity (115m)]])/(monthly_averages[[#This Row],[D14CrefBG (JFJ)]]+1000))</f>
        <v>3.2890645863544048</v>
      </c>
      <c r="J52" s="41">
        <v>-3.8469839055439099</v>
      </c>
      <c r="K52" s="41">
        <v>12.3615996277594</v>
      </c>
      <c r="L52" s="42">
        <f>monthly_averages[[#This Row],[CO2City (115m)]]-monthly_averages[[#This Row],[Cbg (JFJ)]]</f>
        <v>18.592596020959945</v>
      </c>
      <c r="M52" s="42">
        <f>monthly_averages[[#This Row],[dC (115 m)]]-monthly_averages[[#This Row],[CO2ff (115m)]]</f>
        <v>15.30353143460554</v>
      </c>
      <c r="N52" s="43">
        <v>-7.8407535199999998</v>
      </c>
      <c r="O52" s="44">
        <v>436.84599999999995</v>
      </c>
      <c r="P52" s="44">
        <f>monthly_averages[[#This Row],[CO2 (10m)2]]*((monthly_averages[[#This Row],[D14CrefBG (JFJ)]]-monthly_averages[[#This Row],[D14Ccity (10m)]])/(monthly_averages[[#This Row],[D14CrefBG (JFJ)]]+1000))</f>
        <v>5.1132767600660607</v>
      </c>
      <c r="Q52" s="45">
        <v>-6.9113413277523197</v>
      </c>
      <c r="R52" s="45">
        <v>9.4416611071442507</v>
      </c>
      <c r="S52" s="46">
        <f>monthly_averages[[#This Row],[CO2 (10m)2]]-monthly_averages[[#This Row],[Cbg (JFJ)]]</f>
        <v>25.652310306674053</v>
      </c>
      <c r="T52" s="47">
        <f>monthly_averages[[#This Row],[dC(10 m)]]-monthly_averages[[#This Row],[CO2ff (10m)]]</f>
        <v>20.539033546607993</v>
      </c>
      <c r="U52" s="35"/>
      <c r="Z52" s="52"/>
      <c r="AE52" s="53"/>
    </row>
    <row r="53" spans="1:31">
      <c r="A53" s="36">
        <v>2018</v>
      </c>
      <c r="B53" s="37">
        <v>12</v>
      </c>
      <c r="C53" s="38">
        <v>1.05</v>
      </c>
      <c r="D53" s="38">
        <v>411.93306453007608</v>
      </c>
      <c r="E53" s="39">
        <v>-2.4624275230249602</v>
      </c>
      <c r="F53" s="39">
        <v>1.6653019347274201</v>
      </c>
      <c r="G53" s="40">
        <v>-7.2240262409999998</v>
      </c>
      <c r="H53" s="40">
        <v>425.00785714285718</v>
      </c>
      <c r="I53" s="40">
        <f>monthly_averages[[#This Row],[CO2City (115m)]]*((monthly_averages[[#This Row],[D14CrefBG (JFJ)]]-monthly_averages[[#This Row],[D14Ccity (115m)]])/(monthly_averages[[#This Row],[D14CrefBG (JFJ)]]+1000))</f>
        <v>3.5128376830639625</v>
      </c>
      <c r="J53" s="41">
        <v>-7.0524036881822099</v>
      </c>
      <c r="K53" s="41">
        <v>7.3652249780085999</v>
      </c>
      <c r="L53" s="42">
        <f>monthly_averages[[#This Row],[CO2City (115m)]]-monthly_averages[[#This Row],[Cbg (JFJ)]]</f>
        <v>13.074792612781096</v>
      </c>
      <c r="M53" s="42">
        <f>monthly_averages[[#This Row],[dC (115 m)]]-monthly_averages[[#This Row],[CO2ff (115m)]]</f>
        <v>9.5619549297171336</v>
      </c>
      <c r="N53" s="43">
        <v>-11.11002459</v>
      </c>
      <c r="O53" s="44">
        <v>431.19285714285706</v>
      </c>
      <c r="P53" s="44">
        <f>monthly_averages[[#This Row],[CO2 (10m)2]]*((monthly_averages[[#This Row],[D14CrefBG (JFJ)]]-monthly_averages[[#This Row],[D14Ccity (10m)]])/(monthly_averages[[#This Row],[D14CrefBG (JFJ)]]+1000))</f>
        <v>5.2378160390484982</v>
      </c>
      <c r="Q53" s="45">
        <v>-9.9225056092916208</v>
      </c>
      <c r="R53" s="45">
        <v>3.5483060170017899</v>
      </c>
      <c r="S53" s="46">
        <f>monthly_averages[[#This Row],[CO2 (10m)2]]-monthly_averages[[#This Row],[Cbg (JFJ)]]</f>
        <v>19.259792612780984</v>
      </c>
      <c r="T53" s="47">
        <f>monthly_averages[[#This Row],[dC(10 m)]]-monthly_averages[[#This Row],[CO2ff (10m)]]</f>
        <v>14.021976573732486</v>
      </c>
      <c r="U53" s="35"/>
      <c r="Z53" s="52"/>
      <c r="AE53" s="53"/>
    </row>
    <row r="54" spans="1:31">
      <c r="A54" s="36">
        <v>2019</v>
      </c>
      <c r="B54" s="37">
        <v>1</v>
      </c>
      <c r="C54" s="38">
        <v>3.92</v>
      </c>
      <c r="D54" s="38">
        <v>414.04636552935619</v>
      </c>
      <c r="E54" s="39">
        <v>0.66080532672353098</v>
      </c>
      <c r="F54" s="39">
        <v>3.5930875512996399</v>
      </c>
      <c r="G54" s="40">
        <v>-8.3889001000000007</v>
      </c>
      <c r="H54" s="40">
        <v>424.27485714285712</v>
      </c>
      <c r="I54" s="40">
        <f>monthly_averages[[#This Row],[CO2City (115m)]]*((monthly_averages[[#This Row],[D14CrefBG (JFJ)]]-monthly_averages[[#This Row],[D14Ccity (115m)]])/(monthly_averages[[#This Row],[D14CrefBG (JFJ)]]+1000))</f>
        <v>5.2019651282106141</v>
      </c>
      <c r="J54" s="41">
        <v>-7.9778234708204998</v>
      </c>
      <c r="K54" s="41">
        <v>6.4088503282578202</v>
      </c>
      <c r="L54" s="42">
        <f>monthly_averages[[#This Row],[CO2City (115m)]]-monthly_averages[[#This Row],[Cbg (JFJ)]]</f>
        <v>10.228491613500921</v>
      </c>
      <c r="M54" s="42">
        <f>monthly_averages[[#This Row],[dC (115 m)]]-monthly_averages[[#This Row],[CO2ff (115m)]]</f>
        <v>5.0265264852903071</v>
      </c>
      <c r="N54" s="43">
        <v>-13.959548310000001</v>
      </c>
      <c r="O54" s="44">
        <v>427.79228571428575</v>
      </c>
      <c r="P54" s="44">
        <f>monthly_averages[[#This Row],[CO2 (10m)2]]*((monthly_averages[[#This Row],[D14CrefBG (JFJ)]]-monthly_averages[[#This Row],[D14Ccity (10m)]])/(monthly_averages[[#This Row],[D14CrefBG (JFJ)]]+1000))</f>
        <v>7.6188668809007645</v>
      </c>
      <c r="Q54" s="45">
        <v>-12.513669890830901</v>
      </c>
      <c r="R54" s="45">
        <v>-8.5049073140622697E-2</v>
      </c>
      <c r="S54" s="46">
        <f>monthly_averages[[#This Row],[CO2 (10m)2]]-monthly_averages[[#This Row],[Cbg (JFJ)]]</f>
        <v>13.74592018492956</v>
      </c>
      <c r="T54" s="47">
        <f>monthly_averages[[#This Row],[dC(10 m)]]-monthly_averages[[#This Row],[CO2ff (10m)]]</f>
        <v>6.1270533040287951</v>
      </c>
      <c r="U54" s="35"/>
      <c r="Z54" s="52"/>
      <c r="AE54" s="53"/>
    </row>
    <row r="55" spans="1:31">
      <c r="A55" s="36">
        <v>2019</v>
      </c>
      <c r="B55" s="37">
        <v>2</v>
      </c>
      <c r="C55" s="38">
        <v>1.86</v>
      </c>
      <c r="D55" s="38">
        <v>413.09994383156203</v>
      </c>
      <c r="E55" s="39">
        <v>-1.14596182352798</v>
      </c>
      <c r="F55" s="39">
        <v>2.45087316787186</v>
      </c>
      <c r="G55" s="40">
        <v>-9.7133502249999992</v>
      </c>
      <c r="H55" s="40">
        <v>422.3896153846153</v>
      </c>
      <c r="I55" s="40">
        <f>monthly_averages[[#This Row],[CO2City (115m)]]*((monthly_averages[[#This Row],[D14CrefBG (JFJ)]]-monthly_averages[[#This Row],[D14Ccity (115m)]])/(monthly_averages[[#This Row],[D14CrefBG (JFJ)]]+1000))</f>
        <v>4.8793872898900048</v>
      </c>
      <c r="J55" s="41">
        <v>-9.0532432534588008</v>
      </c>
      <c r="K55" s="41">
        <v>4.3124756785070497</v>
      </c>
      <c r="L55" s="42">
        <f>monthly_averages[[#This Row],[CO2City (115m)]]-monthly_averages[[#This Row],[Cbg (JFJ)]]</f>
        <v>9.2896715530532674</v>
      </c>
      <c r="M55" s="42">
        <f>monthly_averages[[#This Row],[dC (115 m)]]-monthly_averages[[#This Row],[CO2ff (115m)]]</f>
        <v>4.4102842631632626</v>
      </c>
      <c r="N55" s="43">
        <v>-10.14424889</v>
      </c>
      <c r="O55" s="44">
        <v>427.04807692307691</v>
      </c>
      <c r="P55" s="44">
        <f>monthly_averages[[#This Row],[CO2 (10m)2]]*((monthly_averages[[#This Row],[D14CrefBG (JFJ)]]-monthly_averages[[#This Row],[D14Ccity (10m)]])/(monthly_averages[[#This Row],[D14CrefBG (JFJ)]]+1000))</f>
        <v>5.116874017707544</v>
      </c>
      <c r="Q55" s="45">
        <v>-8.4348341723702305</v>
      </c>
      <c r="R55" s="45">
        <v>-1.0584041632830701</v>
      </c>
      <c r="S55" s="46">
        <f>monthly_averages[[#This Row],[CO2 (10m)2]]-monthly_averages[[#This Row],[Cbg (JFJ)]]</f>
        <v>13.948133091514876</v>
      </c>
      <c r="T55" s="47">
        <f>monthly_averages[[#This Row],[dC(10 m)]]-monthly_averages[[#This Row],[CO2ff (10m)]]</f>
        <v>8.8312590738073311</v>
      </c>
      <c r="U55" s="35"/>
      <c r="Z55" s="52"/>
      <c r="AE55" s="53"/>
    </row>
    <row r="56" spans="1:31">
      <c r="A56" s="36">
        <v>2019</v>
      </c>
      <c r="B56" s="37">
        <v>3</v>
      </c>
      <c r="C56" s="38">
        <v>3.71</v>
      </c>
      <c r="D56" s="38">
        <v>414.38311957786362</v>
      </c>
      <c r="E56" s="39">
        <v>0.95727102622050597</v>
      </c>
      <c r="F56" s="39">
        <v>3.5386587844440398</v>
      </c>
      <c r="G56" s="40">
        <v>-10.202353820000001</v>
      </c>
      <c r="H56" s="40">
        <v>418.31464285714293</v>
      </c>
      <c r="I56" s="40">
        <f>monthly_averages[[#This Row],[CO2City (115m)]]*((monthly_averages[[#This Row],[D14CrefBG (JFJ)]]-monthly_averages[[#This Row],[D14Ccity (115m)]])/(monthly_averages[[#This Row],[D14CrefBG (JFJ)]]+1000))</f>
        <v>5.7982298866360882</v>
      </c>
      <c r="J56" s="41">
        <v>-9.2986630360970892</v>
      </c>
      <c r="K56" s="41">
        <v>1.61010287562862E-2</v>
      </c>
      <c r="L56" s="42">
        <f>monthly_averages[[#This Row],[CO2City (115m)]]-monthly_averages[[#This Row],[Cbg (JFJ)]]</f>
        <v>3.931523279279304</v>
      </c>
      <c r="M56" s="42">
        <f>monthly_averages[[#This Row],[dC (115 m)]]-monthly_averages[[#This Row],[CO2ff (115m)]]</f>
        <v>-1.8667066073567842</v>
      </c>
      <c r="N56" s="43">
        <v>-7.0635960999999998</v>
      </c>
      <c r="O56" s="44">
        <v>423.16142857142853</v>
      </c>
      <c r="P56" s="44">
        <f>monthly_averages[[#This Row],[CO2 (10m)2]]*((monthly_averages[[#This Row],[D14CrefBG (JFJ)]]-monthly_averages[[#This Row],[D14Ccity (10m)]])/(monthly_averages[[#This Row],[D14CrefBG (JFJ)]]+1000))</f>
        <v>4.542119054834135</v>
      </c>
      <c r="Q56" s="45">
        <v>-5.0959984539095302</v>
      </c>
      <c r="R56" s="45">
        <v>-5.1817592534254899</v>
      </c>
      <c r="S56" s="46">
        <f>monthly_averages[[#This Row],[CO2 (10m)2]]-monthly_averages[[#This Row],[Cbg (JFJ)]]</f>
        <v>8.7783089935649059</v>
      </c>
      <c r="T56" s="47">
        <f>monthly_averages[[#This Row],[dC(10 m)]]-monthly_averages[[#This Row],[CO2ff (10m)]]</f>
        <v>4.2361899387307709</v>
      </c>
      <c r="U56" s="35"/>
      <c r="Z56" s="52"/>
      <c r="AE56" s="53"/>
    </row>
    <row r="57" spans="1:31">
      <c r="A57" s="36">
        <v>2019</v>
      </c>
      <c r="B57" s="37">
        <v>4</v>
      </c>
      <c r="C57" s="38">
        <v>1</v>
      </c>
      <c r="D57" s="38">
        <v>415.562131817774</v>
      </c>
      <c r="E57" s="39">
        <v>-1.4994961240310101</v>
      </c>
      <c r="F57" s="39">
        <v>4.5264444010162501</v>
      </c>
      <c r="G57" s="40">
        <v>-6.4936142200000004</v>
      </c>
      <c r="H57" s="40">
        <v>418.60862068965508</v>
      </c>
      <c r="I57" s="40">
        <f>monthly_averages[[#This Row],[CO2City (115m)]]*((monthly_averages[[#This Row],[D14CrefBG (JFJ)]]-monthly_averages[[#This Row],[D14Ccity (115m)]])/(monthly_averages[[#This Row],[D14CrefBG (JFJ)]]+1000))</f>
        <v>3.133757754859726</v>
      </c>
      <c r="J57" s="41">
        <v>-5.3440828187353899</v>
      </c>
      <c r="K57" s="41">
        <v>9.9726379005521795E-2</v>
      </c>
      <c r="L57" s="42">
        <f>monthly_averages[[#This Row],[CO2City (115m)]]-monthly_averages[[#This Row],[Cbg (JFJ)]]</f>
        <v>3.0464888718810812</v>
      </c>
      <c r="M57" s="42">
        <f>monthly_averages[[#This Row],[dC (115 m)]]-monthly_averages[[#This Row],[CO2ff (115m)]]</f>
        <v>-8.7268882978644768E-2</v>
      </c>
      <c r="N57" s="43">
        <v>-2.954091317</v>
      </c>
      <c r="O57" s="44">
        <v>424.2213793103449</v>
      </c>
      <c r="P57" s="44">
        <f>monthly_averages[[#This Row],[CO2 (10m)2]]*((monthly_averages[[#This Row],[D14CrefBG (JFJ)]]-monthly_averages[[#This Row],[D14Ccity (10m)]])/(monthly_averages[[#This Row],[D14CrefBG (JFJ)]]+1000))</f>
        <v>1.6757343380787197</v>
      </c>
      <c r="Q57" s="45">
        <v>-0.72716273544883603</v>
      </c>
      <c r="R57" s="45">
        <v>-4.3551143435679203</v>
      </c>
      <c r="S57" s="46">
        <f>monthly_averages[[#This Row],[CO2 (10m)2]]-monthly_averages[[#This Row],[Cbg (JFJ)]]</f>
        <v>8.6592474925708984</v>
      </c>
      <c r="T57" s="47">
        <f>monthly_averages[[#This Row],[dC(10 m)]]-monthly_averages[[#This Row],[CO2ff (10m)]]</f>
        <v>6.9835131544921785</v>
      </c>
      <c r="U57" s="35"/>
      <c r="Z57" s="52"/>
      <c r="AE57" s="53"/>
    </row>
    <row r="58" spans="1:31">
      <c r="A58" s="36">
        <v>2019</v>
      </c>
      <c r="B58" s="37">
        <v>5</v>
      </c>
      <c r="C58" s="38">
        <v>-0.9</v>
      </c>
      <c r="D58" s="38">
        <v>413.44660116108321</v>
      </c>
      <c r="E58" s="39">
        <v>-3.1462632742825201</v>
      </c>
      <c r="F58" s="39">
        <v>2.22423001758844</v>
      </c>
      <c r="G58" s="40">
        <v>-0.80557041500000004</v>
      </c>
      <c r="H58" s="40">
        <v>412.6526829268293</v>
      </c>
      <c r="I58" s="40">
        <f>monthly_averages[[#This Row],[CO2City (115m)]]*((monthly_averages[[#This Row],[D14CrefBG (JFJ)]]-monthly_averages[[#This Row],[D14Ccity (115m)]])/(monthly_averages[[#This Row],[D14CrefBG (JFJ)]]+1000))</f>
        <v>-3.9001723148750944E-2</v>
      </c>
      <c r="J58" s="41">
        <v>0.580497398626315</v>
      </c>
      <c r="K58" s="41">
        <v>-6.0766482707452898</v>
      </c>
      <c r="L58" s="42">
        <f>monthly_averages[[#This Row],[CO2City (115m)]]-monthly_averages[[#This Row],[Cbg (JFJ)]]</f>
        <v>-0.79391823425390839</v>
      </c>
      <c r="M58" s="42">
        <f>monthly_averages[[#This Row],[dC (115 m)]]-monthly_averages[[#This Row],[CO2ff (115m)]]</f>
        <v>-0.75491651110515745</v>
      </c>
      <c r="N58" s="43">
        <v>2.0937390069999999</v>
      </c>
      <c r="O58" s="44">
        <v>422.42439024390256</v>
      </c>
      <c r="P58" s="44">
        <f>monthly_averages[[#This Row],[CO2 (10m)2]]*((monthly_averages[[#This Row],[D14CrefBG (JFJ)]]-monthly_averages[[#This Row],[D14Ccity (10m)]])/(monthly_averages[[#This Row],[D14CrefBG (JFJ)]]+1000))</f>
        <v>-1.2657675653902125</v>
      </c>
      <c r="Q58" s="45">
        <v>4.5716729830118599</v>
      </c>
      <c r="R58" s="45">
        <v>-6.3884694337103696</v>
      </c>
      <c r="S58" s="46">
        <f>monthly_averages[[#This Row],[CO2 (10m)2]]-monthly_averages[[#This Row],[Cbg (JFJ)]]</f>
        <v>8.9777890828193563</v>
      </c>
      <c r="T58" s="47">
        <f>monthly_averages[[#This Row],[dC(10 m)]]-monthly_averages[[#This Row],[CO2ff (10m)]]</f>
        <v>10.243556648209569</v>
      </c>
      <c r="U58" s="35"/>
      <c r="Z58" s="52"/>
      <c r="AE58" s="53"/>
    </row>
    <row r="59" spans="1:31">
      <c r="A59" s="36">
        <v>2019</v>
      </c>
      <c r="B59" s="37">
        <v>6</v>
      </c>
      <c r="C59" s="38">
        <v>-1.999999999999999E-2</v>
      </c>
      <c r="D59" s="38">
        <v>412.05388782531969</v>
      </c>
      <c r="E59" s="39">
        <v>-2.0130304245340298</v>
      </c>
      <c r="F59" s="39">
        <v>0.63201563416067497</v>
      </c>
      <c r="G59" s="40">
        <v>1.8217583129999999</v>
      </c>
      <c r="H59" s="40">
        <v>413.06</v>
      </c>
      <c r="I59" s="40">
        <f>monthly_averages[[#This Row],[CO2City (115m)]]*((monthly_averages[[#This Row],[D14CrefBG (JFJ)]]-monthly_averages[[#This Row],[D14Ccity (115m)]])/(monthly_averages[[#This Row],[D14CrefBG (JFJ)]]+1000))</f>
        <v>-0.76077190420586405</v>
      </c>
      <c r="J59" s="41">
        <v>3.4550776159880199</v>
      </c>
      <c r="K59" s="41">
        <v>-5.8830229204960398</v>
      </c>
      <c r="L59" s="42">
        <f>monthly_averages[[#This Row],[CO2City (115m)]]-monthly_averages[[#This Row],[Cbg (JFJ)]]</f>
        <v>1.006112174680311</v>
      </c>
      <c r="M59" s="42">
        <f>monthly_averages[[#This Row],[dC (115 m)]]-monthly_averages[[#This Row],[CO2ff (115m)]]</f>
        <v>1.766884078886175</v>
      </c>
      <c r="N59" s="43">
        <v>-2.0467040669999998</v>
      </c>
      <c r="O59" s="44">
        <v>427.70999999999992</v>
      </c>
      <c r="P59" s="44">
        <f>monthly_averages[[#This Row],[CO2 (10m)2]]*((monthly_averages[[#This Row],[D14CrefBG (JFJ)]]-monthly_averages[[#This Row],[D14Ccity (10m)]])/(monthly_averages[[#This Row],[D14CrefBG (JFJ)]]+1000))</f>
        <v>0.86685893367524325</v>
      </c>
      <c r="Q59" s="45">
        <v>0.69050870147255805</v>
      </c>
      <c r="R59" s="45">
        <v>-1.3318245238528399</v>
      </c>
      <c r="S59" s="46">
        <f>monthly_averages[[#This Row],[CO2 (10m)2]]-monthly_averages[[#This Row],[Cbg (JFJ)]]</f>
        <v>15.656112174680231</v>
      </c>
      <c r="T59" s="47">
        <f>monthly_averages[[#This Row],[dC(10 m)]]-monthly_averages[[#This Row],[CO2ff (10m)]]</f>
        <v>14.789253241004989</v>
      </c>
      <c r="U59" s="35"/>
      <c r="Z59" s="52"/>
      <c r="AE59" s="53"/>
    </row>
    <row r="60" spans="1:31">
      <c r="A60" s="36">
        <v>2019</v>
      </c>
      <c r="B60" s="37">
        <v>7</v>
      </c>
      <c r="C60" s="38">
        <v>3.08</v>
      </c>
      <c r="D60" s="38">
        <v>406.91684044630364</v>
      </c>
      <c r="E60" s="39">
        <v>1.34020242521445</v>
      </c>
      <c r="F60" s="39">
        <v>-4.6901987492671102</v>
      </c>
      <c r="G60" s="40">
        <v>1.8214233639999999</v>
      </c>
      <c r="H60" s="40">
        <v>409.27655172413802</v>
      </c>
      <c r="I60" s="40">
        <f>monthly_averages[[#This Row],[CO2City (115m)]]*((monthly_averages[[#This Row],[D14CrefBG (JFJ)]]-monthly_averages[[#This Row],[D14Ccity (115m)]])/(monthly_averages[[#This Row],[D14CrefBG (JFJ)]]+1000))</f>
        <v>0.51352425096965915</v>
      </c>
      <c r="J60" s="41">
        <v>3.6996578333497299</v>
      </c>
      <c r="K60" s="41">
        <v>-9.8793975702468497</v>
      </c>
      <c r="L60" s="42">
        <f>monthly_averages[[#This Row],[CO2City (115m)]]-monthly_averages[[#This Row],[Cbg (JFJ)]]</f>
        <v>2.3597112778343785</v>
      </c>
      <c r="M60" s="42">
        <f>monthly_averages[[#This Row],[dC (115 m)]]-monthly_averages[[#This Row],[CO2ff (115m)]]</f>
        <v>1.8461870268647194</v>
      </c>
      <c r="N60" s="43">
        <v>6.5010531550000001</v>
      </c>
      <c r="O60" s="44">
        <v>425.05103448275861</v>
      </c>
      <c r="P60" s="44">
        <f>monthly_averages[[#This Row],[CO2 (10m)2]]*((monthly_averages[[#This Row],[D14CrefBG (JFJ)]]-monthly_averages[[#This Row],[D14Ccity (10m)]])/(monthly_averages[[#This Row],[D14CrefBG (JFJ)]]+1000))</f>
        <v>-1.4496572382594162</v>
      </c>
      <c r="Q60" s="45">
        <v>9.4993444199332604</v>
      </c>
      <c r="R60" s="45">
        <v>-4.2251796139952402</v>
      </c>
      <c r="S60" s="46">
        <f>monthly_averages[[#This Row],[CO2 (10m)2]]-monthly_averages[[#This Row],[Cbg (JFJ)]]</f>
        <v>18.134194036454971</v>
      </c>
      <c r="T60" s="47">
        <f>monthly_averages[[#This Row],[dC(10 m)]]-monthly_averages[[#This Row],[CO2ff (10m)]]</f>
        <v>19.583851274714387</v>
      </c>
      <c r="U60" s="35"/>
      <c r="Z60" s="52"/>
      <c r="AE60" s="53"/>
    </row>
    <row r="61" spans="1:31">
      <c r="A61" s="36">
        <v>2019</v>
      </c>
      <c r="B61" s="37">
        <v>8</v>
      </c>
      <c r="C61" s="38">
        <v>0.18</v>
      </c>
      <c r="D61" s="38">
        <v>404.55227319028256</v>
      </c>
      <c r="E61" s="39">
        <v>-1.30656472503706</v>
      </c>
      <c r="F61" s="39">
        <v>-7.2524131326949099</v>
      </c>
      <c r="G61" s="40">
        <v>8.8218875360000002</v>
      </c>
      <c r="H61" s="40">
        <v>408.57911764705887</v>
      </c>
      <c r="I61" s="40">
        <f>monthly_averages[[#This Row],[CO2City (115m)]]*((monthly_averages[[#This Row],[D14CrefBG (JFJ)]]-monthly_averages[[#This Row],[D14Ccity (115m)]])/(monthly_averages[[#This Row],[D14CrefBG (JFJ)]]+1000))</f>
        <v>-3.5302593375832312</v>
      </c>
      <c r="J61" s="41">
        <v>10.9442380507114</v>
      </c>
      <c r="K61" s="41">
        <v>-10.7957722199976</v>
      </c>
      <c r="L61" s="42">
        <f>monthly_averages[[#This Row],[CO2City (115m)]]-monthly_averages[[#This Row],[Cbg (JFJ)]]</f>
        <v>4.0268444567763026</v>
      </c>
      <c r="M61" s="42">
        <f>monthly_averages[[#This Row],[dC (115 m)]]-monthly_averages[[#This Row],[CO2ff (115m)]]</f>
        <v>7.5571037943595343</v>
      </c>
      <c r="N61" s="43">
        <v>1.756453829</v>
      </c>
      <c r="O61" s="44">
        <v>428.98970588235306</v>
      </c>
      <c r="P61" s="44">
        <f>monthly_averages[[#This Row],[CO2 (10m)2]]*((monthly_averages[[#This Row],[D14CrefBG (JFJ)]]-monthly_averages[[#This Row],[D14Ccity (10m)]])/(monthly_averages[[#This Row],[D14CrefBG (JFJ)]]+1000))</f>
        <v>-0.6761607555038287</v>
      </c>
      <c r="Q61" s="45">
        <v>5.0181801383939497</v>
      </c>
      <c r="R61" s="45">
        <v>-0.51853470413768299</v>
      </c>
      <c r="S61" s="46">
        <f>monthly_averages[[#This Row],[CO2 (10m)2]]-monthly_averages[[#This Row],[Cbg (JFJ)]]</f>
        <v>24.437432692070502</v>
      </c>
      <c r="T61" s="47">
        <f>monthly_averages[[#This Row],[dC(10 m)]]-monthly_averages[[#This Row],[CO2ff (10m)]]</f>
        <v>25.113593447574331</v>
      </c>
      <c r="U61" s="35"/>
      <c r="Z61" s="52"/>
      <c r="AE61" s="53"/>
    </row>
    <row r="62" spans="1:31">
      <c r="A62" s="36">
        <v>2019</v>
      </c>
      <c r="B62" s="37">
        <v>9</v>
      </c>
      <c r="C62" s="38">
        <v>7.05</v>
      </c>
      <c r="D62" s="38">
        <v>406.06883725898513</v>
      </c>
      <c r="E62" s="39">
        <v>5.8166681247114296</v>
      </c>
      <c r="F62" s="39">
        <v>-5.9246275161227198</v>
      </c>
      <c r="G62" s="40">
        <v>-4.3769281180000004</v>
      </c>
      <c r="H62" s="40">
        <v>410.34178571428578</v>
      </c>
      <c r="I62" s="40">
        <f>monthly_averages[[#This Row],[CO2City (115m)]]*((monthly_averages[[#This Row],[D14CrefBG (JFJ)]]-monthly_averages[[#This Row],[D14Ccity (115m)]])/(monthly_averages[[#This Row],[D14CrefBG (JFJ)]]+1000))</f>
        <v>4.6561204400664344</v>
      </c>
      <c r="J62" s="41">
        <v>-2.0111817319268601</v>
      </c>
      <c r="K62" s="41">
        <v>-9.2521468697483993</v>
      </c>
      <c r="L62" s="42">
        <f>monthly_averages[[#This Row],[CO2City (115m)]]-monthly_averages[[#This Row],[Cbg (JFJ)]]</f>
        <v>4.27294845530065</v>
      </c>
      <c r="M62" s="42">
        <f>monthly_averages[[#This Row],[dC (115 m)]]-monthly_averages[[#This Row],[CO2ff (115m)]]</f>
        <v>-0.3831719847657844</v>
      </c>
      <c r="N62" s="43">
        <v>0.455848007</v>
      </c>
      <c r="O62" s="44">
        <v>423.14500000000004</v>
      </c>
      <c r="P62" s="44">
        <f>monthly_averages[[#This Row],[CO2 (10m)2]]*((monthly_averages[[#This Row],[D14CrefBG (JFJ)]]-monthly_averages[[#This Row],[D14Ccity (10m)]])/(monthly_averages[[#This Row],[D14CrefBG (JFJ)]]+1000))</f>
        <v>2.7707486669758059</v>
      </c>
      <c r="Q62" s="45">
        <v>3.9770158568546501</v>
      </c>
      <c r="R62" s="45">
        <v>-6.5918897942801502</v>
      </c>
      <c r="S62" s="46">
        <f>monthly_averages[[#This Row],[CO2 (10m)2]]-monthly_averages[[#This Row],[Cbg (JFJ)]]</f>
        <v>17.076162741014912</v>
      </c>
      <c r="T62" s="47">
        <f>monthly_averages[[#This Row],[dC(10 m)]]-monthly_averages[[#This Row],[CO2ff (10m)]]</f>
        <v>14.305414074039106</v>
      </c>
      <c r="U62" s="35"/>
      <c r="Z62" s="52"/>
      <c r="AE62" s="53"/>
    </row>
    <row r="63" spans="1:31">
      <c r="A63" s="36">
        <v>2019</v>
      </c>
      <c r="B63" s="37">
        <v>10</v>
      </c>
      <c r="C63" s="38">
        <v>1.43</v>
      </c>
      <c r="D63" s="38">
        <v>410.28267838233296</v>
      </c>
      <c r="E63" s="39">
        <v>0.449900974459917</v>
      </c>
      <c r="F63" s="39">
        <v>-1.9068418995505301</v>
      </c>
      <c r="G63" s="40">
        <v>3.2622927329999998</v>
      </c>
      <c r="H63" s="40">
        <v>420.47371428571421</v>
      </c>
      <c r="I63" s="40">
        <f>monthly_averages[[#This Row],[CO2City (115m)]]*((monthly_averages[[#This Row],[D14CrefBG (JFJ)]]-monthly_averages[[#This Row],[D14Ccity (115m)]])/(monthly_averages[[#This Row],[D14CrefBG (JFJ)]]+1000))</f>
        <v>-0.7693307880762833</v>
      </c>
      <c r="J63" s="41">
        <v>5.8733984854348398</v>
      </c>
      <c r="K63" s="41">
        <v>0.66147848050087998</v>
      </c>
      <c r="L63" s="42">
        <f>monthly_averages[[#This Row],[CO2City (115m)]]-monthly_averages[[#This Row],[Cbg (JFJ)]]</f>
        <v>10.191035903381248</v>
      </c>
      <c r="M63" s="42">
        <f>monthly_averages[[#This Row],[dC (115 m)]]-monthly_averages[[#This Row],[CO2ff (115m)]]</f>
        <v>10.960366691457532</v>
      </c>
      <c r="N63" s="43">
        <v>-4.0236707440000004</v>
      </c>
      <c r="O63" s="44">
        <v>430.75085714285717</v>
      </c>
      <c r="P63" s="44">
        <f>monthly_averages[[#This Row],[CO2 (10m)2]]*((monthly_averages[[#This Row],[D14CrefBG (JFJ)]]-monthly_averages[[#This Row],[D14Ccity (10m)]])/(monthly_averages[[#This Row],[D14CrefBG (JFJ)]]+1000))</f>
        <v>2.3458188266308415</v>
      </c>
      <c r="Q63" s="45">
        <v>-0.244148424684653</v>
      </c>
      <c r="R63" s="45">
        <v>0.77475511557743704</v>
      </c>
      <c r="S63" s="46">
        <f>monthly_averages[[#This Row],[CO2 (10m)2]]-monthly_averages[[#This Row],[Cbg (JFJ)]]</f>
        <v>20.468178760524211</v>
      </c>
      <c r="T63" s="47">
        <f>monthly_averages[[#This Row],[dC(10 m)]]-monthly_averages[[#This Row],[CO2ff (10m)]]</f>
        <v>18.122359933893371</v>
      </c>
      <c r="U63" s="35"/>
      <c r="Z63" s="52"/>
      <c r="AE63" s="53"/>
    </row>
    <row r="64" spans="1:31">
      <c r="A64" s="36">
        <v>2019</v>
      </c>
      <c r="B64" s="37">
        <v>11</v>
      </c>
      <c r="C64" s="38">
        <v>0.56999999999999995</v>
      </c>
      <c r="D64" s="38">
        <v>413.3142487150875</v>
      </c>
      <c r="E64" s="39">
        <v>-0.15686617579159601</v>
      </c>
      <c r="F64" s="39">
        <v>0.93094371702170398</v>
      </c>
      <c r="G64" s="40">
        <v>-6.6300424549999999</v>
      </c>
      <c r="H64" s="40">
        <v>427.94285714285718</v>
      </c>
      <c r="I64" s="40">
        <f>monthly_averages[[#This Row],[CO2City (115m)]]*((monthly_averages[[#This Row],[D14CrefBG (JFJ)]]-monthly_averages[[#This Row],[D14Ccity (115m)]])/(monthly_averages[[#This Row],[D14CrefBG (JFJ)]]+1000))</f>
        <v>3.0794514524146952</v>
      </c>
      <c r="J64" s="41">
        <v>-3.7720212972034499</v>
      </c>
      <c r="K64" s="41">
        <v>7.9151038307500796</v>
      </c>
      <c r="L64" s="42">
        <f>monthly_averages[[#This Row],[CO2City (115m)]]-monthly_averages[[#This Row],[Cbg (JFJ)]]</f>
        <v>14.628608427769677</v>
      </c>
      <c r="M64" s="42">
        <f>monthly_averages[[#This Row],[dC (115 m)]]-monthly_averages[[#This Row],[CO2ff (115m)]]</f>
        <v>11.549156975354983</v>
      </c>
      <c r="N64" s="43">
        <v>-9.9659733999999993</v>
      </c>
      <c r="O64" s="44">
        <v>434.31892857142856</v>
      </c>
      <c r="P64" s="44">
        <f>monthly_averages[[#This Row],[CO2 (10m)2]]*((monthly_averages[[#This Row],[D14CrefBG (JFJ)]]-monthly_averages[[#This Row],[D14Ccity (10m)]])/(monthly_averages[[#This Row],[D14CrefBG (JFJ)]]+1000))</f>
        <v>4.5733658600048681</v>
      </c>
      <c r="Q64" s="45">
        <v>-5.9353127062239599</v>
      </c>
      <c r="R64" s="45">
        <v>4.1114000254349898</v>
      </c>
      <c r="S64" s="46">
        <f>monthly_averages[[#This Row],[CO2 (10m)2]]-monthly_averages[[#This Row],[Cbg (JFJ)]]</f>
        <v>21.004679856341056</v>
      </c>
      <c r="T64" s="47">
        <f>monthly_averages[[#This Row],[dC(10 m)]]-monthly_averages[[#This Row],[CO2ff (10m)]]</f>
        <v>16.431313996336186</v>
      </c>
      <c r="U64" s="35"/>
      <c r="Z64" s="52"/>
      <c r="AE64" s="53"/>
    </row>
    <row r="65" spans="1:31">
      <c r="A65" s="36">
        <v>2019</v>
      </c>
      <c r="B65" s="37">
        <v>12</v>
      </c>
      <c r="C65" s="38">
        <v>0.45</v>
      </c>
      <c r="D65" s="38">
        <v>413.939845939382</v>
      </c>
      <c r="E65" s="39">
        <v>-2.3633326043108499E-2</v>
      </c>
      <c r="F65" s="39">
        <v>1.3687293335939099</v>
      </c>
      <c r="G65" s="40">
        <v>-4.2365006259999998</v>
      </c>
      <c r="H65" s="40">
        <v>425.13103448275859</v>
      </c>
      <c r="I65" s="40">
        <f>monthly_averages[[#This Row],[CO2City (115m)]]*((monthly_averages[[#This Row],[D14CrefBG (JFJ)]]-monthly_averages[[#This Row],[D14Ccity (115m)]])/(monthly_averages[[#This Row],[D14CrefBG (JFJ)]]+1000))</f>
        <v>1.9914806929236601</v>
      </c>
      <c r="J65" s="41">
        <v>-1.13744107984175</v>
      </c>
      <c r="K65" s="41">
        <v>4.8887291809992997</v>
      </c>
      <c r="L65" s="42">
        <f>monthly_averages[[#This Row],[CO2City (115m)]]-monthly_averages[[#This Row],[Cbg (JFJ)]]</f>
        <v>11.191188543376597</v>
      </c>
      <c r="M65" s="42">
        <f>monthly_averages[[#This Row],[dC (115 m)]]-monthly_averages[[#This Row],[CO2ff (115m)]]</f>
        <v>9.1997078504529366</v>
      </c>
      <c r="N65" s="43">
        <v>-6.0184504390000004</v>
      </c>
      <c r="O65" s="44">
        <v>430.74620689655171</v>
      </c>
      <c r="P65" s="44">
        <f>monthly_averages[[#This Row],[CO2 (10m)2]]*((monthly_averages[[#This Row],[D14CrefBG (JFJ)]]-monthly_averages[[#This Row],[D14Ccity (10m)]])/(monthly_averages[[#This Row],[D14CrefBG (JFJ)]]+1000))</f>
        <v>2.7850072378405564</v>
      </c>
      <c r="Q65" s="45">
        <v>-1.72647698776326</v>
      </c>
      <c r="R65" s="45">
        <v>0.30804493529256599</v>
      </c>
      <c r="S65" s="46">
        <f>monthly_averages[[#This Row],[CO2 (10m)2]]-monthly_averages[[#This Row],[Cbg (JFJ)]]</f>
        <v>16.806360957169716</v>
      </c>
      <c r="T65" s="47">
        <f>monthly_averages[[#This Row],[dC(10 m)]]-monthly_averages[[#This Row],[CO2ff (10m)]]</f>
        <v>14.021353719329159</v>
      </c>
      <c r="U65" s="35"/>
      <c r="Z65" s="52"/>
      <c r="AE65" s="53"/>
    </row>
    <row r="66" spans="1:31">
      <c r="A66" s="36">
        <v>2020</v>
      </c>
      <c r="B66" s="37">
        <v>1</v>
      </c>
      <c r="C66" s="38">
        <v>-2.2000000000000002</v>
      </c>
      <c r="D66" s="38">
        <v>414.72053880744727</v>
      </c>
      <c r="E66" s="39">
        <v>-2.4204004762946201</v>
      </c>
      <c r="F66" s="39">
        <v>1.9565149501661401</v>
      </c>
      <c r="G66" s="40">
        <v>-11.72372073</v>
      </c>
      <c r="H66" s="40">
        <v>429.35341463414636</v>
      </c>
      <c r="I66" s="40">
        <f>monthly_averages[[#This Row],[CO2City (115m)]]*((monthly_averages[[#This Row],[D14CrefBG (JFJ)]]-monthly_averages[[#This Row],[D14Ccity (115m)]])/(monthly_averages[[#This Row],[D14CrefBG (JFJ)]]+1000))</f>
        <v>4.0980577424809637</v>
      </c>
      <c r="J66" s="41">
        <v>-8.3728608624800493</v>
      </c>
      <c r="K66" s="41">
        <v>8.8923545312485501</v>
      </c>
      <c r="L66" s="42">
        <f>monthly_averages[[#This Row],[CO2City (115m)]]-monthly_averages[[#This Row],[Cbg (JFJ)]]</f>
        <v>14.632875826699092</v>
      </c>
      <c r="M66" s="42">
        <f>monthly_averages[[#This Row],[dC (115 m)]]-monthly_averages[[#This Row],[CO2ff (115m)]]</f>
        <v>10.534818084218127</v>
      </c>
      <c r="N66" s="43">
        <v>-8.9589497310000006</v>
      </c>
      <c r="O66" s="44">
        <v>432.66853658536587</v>
      </c>
      <c r="P66" s="44">
        <f>monthly_averages[[#This Row],[CO2 (10m)2]]*((monthly_averages[[#This Row],[D14CrefBG (JFJ)]]-monthly_averages[[#This Row],[D14Ccity (10m)]])/(monthly_averages[[#This Row],[D14CrefBG (JFJ)]]+1000))</f>
        <v>2.9308327209519165</v>
      </c>
      <c r="Q66" s="45">
        <v>-4.4076412693025597</v>
      </c>
      <c r="R66" s="45">
        <v>1.99468984515015</v>
      </c>
      <c r="S66" s="46">
        <f>monthly_averages[[#This Row],[CO2 (10m)2]]-monthly_averages[[#This Row],[Cbg (JFJ)]]</f>
        <v>17.947997777918602</v>
      </c>
      <c r="T66" s="47">
        <f>monthly_averages[[#This Row],[dC(10 m)]]-monthly_averages[[#This Row],[CO2ff (10m)]]</f>
        <v>15.017165056966686</v>
      </c>
      <c r="U66" s="35"/>
      <c r="Z66" s="52"/>
      <c r="AE66" s="53"/>
    </row>
    <row r="67" spans="1:31">
      <c r="A67" s="36">
        <v>2020</v>
      </c>
      <c r="B67" s="37">
        <v>2</v>
      </c>
      <c r="C67" s="38">
        <v>2.25</v>
      </c>
      <c r="D67" s="38">
        <v>416.13396278406253</v>
      </c>
      <c r="E67" s="39">
        <v>2.28283237345387</v>
      </c>
      <c r="F67" s="39">
        <v>3.17430056673832</v>
      </c>
      <c r="G67" s="40">
        <v>-5.4494713130000001</v>
      </c>
      <c r="H67" s="40">
        <v>422.02238095238101</v>
      </c>
      <c r="I67" s="40">
        <f>monthly_averages[[#This Row],[CO2City (115m)]]*((monthly_averages[[#This Row],[D14CrefBG (JFJ)]]-monthly_averages[[#This Row],[D14Ccity (115m)]])/(monthly_averages[[#This Row],[D14CrefBG (JFJ)]]+1000))</f>
        <v>3.2420545927531208</v>
      </c>
      <c r="J67" s="41">
        <v>-1.85828064511834</v>
      </c>
      <c r="K67" s="41">
        <v>1.34597988149773</v>
      </c>
      <c r="L67" s="42">
        <f>monthly_averages[[#This Row],[CO2City (115m)]]-monthly_averages[[#This Row],[Cbg (JFJ)]]</f>
        <v>5.8884181683184806</v>
      </c>
      <c r="M67" s="42">
        <f>monthly_averages[[#This Row],[dC (115 m)]]-monthly_averages[[#This Row],[CO2ff (115m)]]</f>
        <v>2.6463635755653598</v>
      </c>
      <c r="N67" s="43">
        <v>-7.755252488</v>
      </c>
      <c r="O67" s="44">
        <v>425.45952380952389</v>
      </c>
      <c r="P67" s="44">
        <f>monthly_averages[[#This Row],[CO2 (10m)2]]*((monthly_averages[[#This Row],[D14CrefBG (JFJ)]]-monthly_averages[[#This Row],[D14Ccity (10m)]])/(monthly_averages[[#This Row],[D14CrefBG (JFJ)]]+1000))</f>
        <v>4.2472735935530395</v>
      </c>
      <c r="Q67" s="45">
        <v>-2.9488055508418598</v>
      </c>
      <c r="R67" s="45">
        <v>-5.4486652449923296</v>
      </c>
      <c r="S67" s="46">
        <f>monthly_averages[[#This Row],[CO2 (10m)2]]-monthly_averages[[#This Row],[Cbg (JFJ)]]</f>
        <v>9.3255610254613543</v>
      </c>
      <c r="T67" s="47">
        <f>monthly_averages[[#This Row],[dC(10 m)]]-monthly_averages[[#This Row],[CO2ff (10m)]]</f>
        <v>5.0782874319083149</v>
      </c>
      <c r="U67" s="35"/>
      <c r="Z67" s="52"/>
      <c r="AE67" s="53"/>
    </row>
    <row r="68" spans="1:31">
      <c r="A68" s="36">
        <v>2020</v>
      </c>
      <c r="B68" s="37">
        <v>3</v>
      </c>
      <c r="C68" s="38">
        <v>-4.3899999999999997</v>
      </c>
      <c r="D68" s="38">
        <v>417.22836502432233</v>
      </c>
      <c r="E68" s="39">
        <v>-4.10393477679765</v>
      </c>
      <c r="F68" s="39">
        <v>4.0820861833105502</v>
      </c>
      <c r="G68" s="40">
        <v>-7.6463410600000001</v>
      </c>
      <c r="H68" s="40">
        <v>422.40285714285721</v>
      </c>
      <c r="I68" s="40">
        <f>monthly_averages[[#This Row],[CO2City (115m)]]*((monthly_averages[[#This Row],[D14CrefBG (JFJ)]]-monthly_averages[[#This Row],[D14Ccity (115m)]])/(monthly_averages[[#This Row],[D14CrefBG (JFJ)]]+1000))</f>
        <v>1.3815527842986717</v>
      </c>
      <c r="J68" s="41">
        <v>-3.8137004277566402</v>
      </c>
      <c r="K68" s="41">
        <v>1.5096052317469499</v>
      </c>
      <c r="L68" s="42">
        <f>monthly_averages[[#This Row],[CO2City (115m)]]-monthly_averages[[#This Row],[Cbg (JFJ)]]</f>
        <v>5.1744921185348858</v>
      </c>
      <c r="M68" s="42">
        <f>monthly_averages[[#This Row],[dC (115 m)]]-monthly_averages[[#This Row],[CO2ff (115m)]]</f>
        <v>3.7929393342362143</v>
      </c>
      <c r="N68" s="43">
        <v>-12.29817714</v>
      </c>
      <c r="O68" s="44">
        <v>427.06678571428569</v>
      </c>
      <c r="P68" s="44">
        <f>monthly_averages[[#This Row],[CO2 (10m)2]]*((monthly_averages[[#This Row],[D14CrefBG (JFJ)]]-monthly_averages[[#This Row],[D14Ccity (10m)]])/(monthly_averages[[#This Row],[D14CrefBG (JFJ)]]+1000))</f>
        <v>3.3922116009672392</v>
      </c>
      <c r="Q68" s="45">
        <v>-7.2299698323811699</v>
      </c>
      <c r="R68" s="45">
        <v>-4.0720203351347504</v>
      </c>
      <c r="S68" s="46">
        <f>monthly_averages[[#This Row],[CO2 (10m)2]]-monthly_averages[[#This Row],[Cbg (JFJ)]]</f>
        <v>9.8384206899633568</v>
      </c>
      <c r="T68" s="47">
        <f>monthly_averages[[#This Row],[dC(10 m)]]-monthly_averages[[#This Row],[CO2ff (10m)]]</f>
        <v>6.4462090889961177</v>
      </c>
      <c r="U68" s="35"/>
      <c r="Z68" s="52"/>
      <c r="AE68" s="53"/>
    </row>
    <row r="69" spans="1:31">
      <c r="A69" s="36">
        <v>2020</v>
      </c>
      <c r="B69" s="37">
        <v>4</v>
      </c>
      <c r="C69" s="38">
        <v>2.04</v>
      </c>
      <c r="D69" s="38">
        <v>416.77792204715297</v>
      </c>
      <c r="E69" s="39">
        <v>2.5792980729508401</v>
      </c>
      <c r="F69" s="39">
        <v>3.43987179988271</v>
      </c>
      <c r="G69" s="40">
        <v>-6.2313979819999998</v>
      </c>
      <c r="H69" s="40">
        <v>419.12971428571439</v>
      </c>
      <c r="I69" s="40">
        <f>monthly_averages[[#This Row],[CO2City (115m)]]*((monthly_averages[[#This Row],[D14CrefBG (JFJ)]]-monthly_averages[[#This Row],[D14Ccity (115m)]])/(monthly_averages[[#This Row],[D14CrefBG (JFJ)]]+1000))</f>
        <v>3.4597308220620882</v>
      </c>
      <c r="J69" s="41">
        <v>-2.1491202103949298</v>
      </c>
      <c r="K69" s="41">
        <v>-1.97676941800381</v>
      </c>
      <c r="L69" s="42">
        <f>monthly_averages[[#This Row],[CO2City (115m)]]-monthly_averages[[#This Row],[Cbg (JFJ)]]</f>
        <v>2.3517922385614156</v>
      </c>
      <c r="M69" s="42">
        <f>monthly_averages[[#This Row],[dC (115 m)]]-monthly_averages[[#This Row],[CO2ff (115m)]]</f>
        <v>-1.1079385835006725</v>
      </c>
      <c r="N69" s="43">
        <v>-5.2348203489999996</v>
      </c>
      <c r="O69" s="44">
        <v>427.90085714285709</v>
      </c>
      <c r="P69" s="44">
        <f>monthly_averages[[#This Row],[CO2 (10m)2]]*((monthly_averages[[#This Row],[D14CrefBG (JFJ)]]-monthly_averages[[#This Row],[D14Ccity (10m)]])/(monthly_averages[[#This Row],[D14CrefBG (JFJ)]]+1000))</f>
        <v>3.1065644713757923</v>
      </c>
      <c r="Q69" s="45">
        <v>9.8865886079529605E-2</v>
      </c>
      <c r="R69" s="45">
        <v>-3.4753754252771998</v>
      </c>
      <c r="S69" s="46">
        <f>monthly_averages[[#This Row],[CO2 (10m)2]]-monthly_averages[[#This Row],[Cbg (JFJ)]]</f>
        <v>11.122935095704122</v>
      </c>
      <c r="T69" s="47">
        <f>monthly_averages[[#This Row],[dC(10 m)]]-monthly_averages[[#This Row],[CO2ff (10m)]]</f>
        <v>8.0163706243283297</v>
      </c>
      <c r="U69" s="35"/>
      <c r="Z69" s="52"/>
      <c r="AE69" s="53"/>
    </row>
    <row r="70" spans="1:31">
      <c r="A70" s="36">
        <v>2020</v>
      </c>
      <c r="B70" s="37">
        <v>5</v>
      </c>
      <c r="C70" s="38">
        <v>-4.3550000000000004</v>
      </c>
      <c r="D70" s="38">
        <v>415.5780907257286</v>
      </c>
      <c r="E70" s="39">
        <v>-3.5674690773006699</v>
      </c>
      <c r="F70" s="39">
        <v>2.0476574164549302</v>
      </c>
      <c r="G70" s="40">
        <v>-2.5716642909999998</v>
      </c>
      <c r="H70" s="40">
        <v>413.33821428571412</v>
      </c>
      <c r="I70" s="40">
        <f>monthly_averages[[#This Row],[CO2City (115m)]]*((monthly_averages[[#This Row],[D14CrefBG (JFJ)]]-monthly_averages[[#This Row],[D14Ccity (115m)]])/(monthly_averages[[#This Row],[D14CrefBG (JFJ)]]+1000))</f>
        <v>-0.74034499990459268</v>
      </c>
      <c r="J70" s="41">
        <v>1.7554600069667701</v>
      </c>
      <c r="K70" s="41">
        <v>-7.9831440677546004</v>
      </c>
      <c r="L70" s="42">
        <f>monthly_averages[[#This Row],[CO2City (115m)]]-monthly_averages[[#This Row],[Cbg (JFJ)]]</f>
        <v>-2.2398764400144842</v>
      </c>
      <c r="M70" s="42">
        <f>monthly_averages[[#This Row],[dC (115 m)]]-monthly_averages[[#This Row],[CO2ff (115m)]]</f>
        <v>-1.4995314401098914</v>
      </c>
      <c r="N70" s="43">
        <v>-4.106697273</v>
      </c>
      <c r="O70" s="44">
        <v>420.72035714285715</v>
      </c>
      <c r="P70" s="44">
        <f>monthly_averages[[#This Row],[CO2 (10m)2]]*((monthly_averages[[#This Row],[D14CrefBG (JFJ)]]-monthly_averages[[#This Row],[D14Ccity (10m)]])/(monthly_averages[[#This Row],[D14CrefBG (JFJ)]]+1000))</f>
        <v>-0.10492295143649147</v>
      </c>
      <c r="Q70" s="45">
        <v>1.47770160454023</v>
      </c>
      <c r="R70" s="45">
        <v>-10.888730515419599</v>
      </c>
      <c r="S70" s="46">
        <f>monthly_averages[[#This Row],[CO2 (10m)2]]-monthly_averages[[#This Row],[Cbg (JFJ)]]</f>
        <v>5.1422664171285533</v>
      </c>
      <c r="T70" s="47">
        <f>monthly_averages[[#This Row],[dC(10 m)]]-monthly_averages[[#This Row],[CO2ff (10m)]]</f>
        <v>5.2471893685650448</v>
      </c>
      <c r="U70" s="35"/>
      <c r="Z70" s="52"/>
      <c r="AE70" s="53"/>
    </row>
    <row r="71" spans="1:31">
      <c r="A71" s="36">
        <v>2020</v>
      </c>
      <c r="B71" s="37">
        <v>6</v>
      </c>
      <c r="C71" s="38">
        <v>-3.12</v>
      </c>
      <c r="D71" s="38">
        <v>412.14417707383149</v>
      </c>
      <c r="E71" s="39">
        <v>-2.0742362275521802</v>
      </c>
      <c r="F71" s="39">
        <v>-1.5845569669728601</v>
      </c>
      <c r="G71" s="40">
        <v>-3.1848685290000001</v>
      </c>
      <c r="H71" s="40">
        <v>413.47285714285709</v>
      </c>
      <c r="I71" s="40">
        <f>monthly_averages[[#This Row],[CO2City (115m)]]*((monthly_averages[[#This Row],[D14CrefBG (JFJ)]]-monthly_averages[[#This Row],[D14Ccity (115m)]])/(monthly_averages[[#This Row],[D14CrefBG (JFJ)]]+1000))</f>
        <v>2.6905320624633116E-2</v>
      </c>
      <c r="J71" s="41">
        <v>1.39004022432848</v>
      </c>
      <c r="K71" s="41">
        <v>-8.0695187175053302</v>
      </c>
      <c r="L71" s="42">
        <f>monthly_averages[[#This Row],[CO2City (115m)]]-monthly_averages[[#This Row],[Cbg (JFJ)]]</f>
        <v>1.3286800690256086</v>
      </c>
      <c r="M71" s="42">
        <f>monthly_averages[[#This Row],[dC (115 m)]]-monthly_averages[[#This Row],[CO2ff (115m)]]</f>
        <v>1.3017747484009756</v>
      </c>
      <c r="N71" s="43">
        <v>-3.458990032</v>
      </c>
      <c r="O71" s="44">
        <v>424.9671428571429</v>
      </c>
      <c r="P71" s="44">
        <f>monthly_averages[[#This Row],[CO2 (10m)2]]*((monthly_averages[[#This Row],[D14CrefBG (JFJ)]]-monthly_averages[[#This Row],[D14Ccity (10m)]])/(monthly_averages[[#This Row],[D14CrefBG (JFJ)]]+1000))</f>
        <v>0.1445104981101952</v>
      </c>
      <c r="Q71" s="45">
        <v>2.3865373230009199</v>
      </c>
      <c r="R71" s="45">
        <v>-6.8720856055620203</v>
      </c>
      <c r="S71" s="46">
        <f>monthly_averages[[#This Row],[CO2 (10m)2]]-monthly_averages[[#This Row],[Cbg (JFJ)]]</f>
        <v>12.822965783311417</v>
      </c>
      <c r="T71" s="47">
        <f>monthly_averages[[#This Row],[dC(10 m)]]-monthly_averages[[#This Row],[CO2ff (10m)]]</f>
        <v>12.678455285201222</v>
      </c>
      <c r="U71" s="35"/>
      <c r="Z71" s="52"/>
      <c r="AE71" s="53"/>
    </row>
    <row r="72" spans="1:31">
      <c r="A72" s="36">
        <v>2020</v>
      </c>
      <c r="B72" s="37">
        <v>7</v>
      </c>
      <c r="C72" s="38">
        <v>5.35</v>
      </c>
      <c r="D72" s="38">
        <v>409.75223235859266</v>
      </c>
      <c r="E72" s="39">
        <v>6.6489966221963002</v>
      </c>
      <c r="F72" s="39">
        <v>-4.1667713504006398</v>
      </c>
      <c r="G72" s="40">
        <v>-2.1045353260000002</v>
      </c>
      <c r="H72" s="40">
        <v>410.036</v>
      </c>
      <c r="I72" s="40">
        <f>monthly_averages[[#This Row],[CO2City (115m)]]*((monthly_averages[[#This Row],[D14CrefBG (JFJ)]]-monthly_averages[[#This Row],[D14Ccity (115m)]])/(monthly_averages[[#This Row],[D14CrefBG (JFJ)]]+1000))</f>
        <v>3.0403619107094402</v>
      </c>
      <c r="J72" s="41">
        <v>2.71462044169018</v>
      </c>
      <c r="K72" s="41">
        <v>-11.715893367256101</v>
      </c>
      <c r="L72" s="42">
        <f>monthly_averages[[#This Row],[CO2City (115m)]]-monthly_averages[[#This Row],[Cbg (JFJ)]]</f>
        <v>0.28376764140733712</v>
      </c>
      <c r="M72" s="42">
        <f>monthly_averages[[#This Row],[dC (115 m)]]-monthly_averages[[#This Row],[CO2ff (115m)]]</f>
        <v>-2.7565942693021031</v>
      </c>
      <c r="N72" s="43">
        <v>-0.606111964</v>
      </c>
      <c r="O72" s="44">
        <v>427.56171428571429</v>
      </c>
      <c r="P72" s="44">
        <f>monthly_averages[[#This Row],[CO2 (10m)2]]*((monthly_averages[[#This Row],[D14CrefBG (JFJ)]]-monthly_averages[[#This Row],[D14Ccity (10m)]])/(monthly_averages[[#This Row],[D14CrefBG (JFJ)]]+1000))</f>
        <v>2.5330536050186425</v>
      </c>
      <c r="Q72" s="45">
        <v>5.4953730414616198</v>
      </c>
      <c r="R72" s="45">
        <v>-4.5154406957044797</v>
      </c>
      <c r="S72" s="46">
        <f>monthly_averages[[#This Row],[CO2 (10m)2]]-monthly_averages[[#This Row],[Cbg (JFJ)]]</f>
        <v>17.809481927121624</v>
      </c>
      <c r="T72" s="47">
        <f>monthly_averages[[#This Row],[dC(10 m)]]-monthly_averages[[#This Row],[CO2ff (10m)]]</f>
        <v>15.276428322102982</v>
      </c>
      <c r="U72" s="35"/>
      <c r="Z72" s="52"/>
      <c r="AE72" s="53"/>
    </row>
    <row r="73" spans="1:31">
      <c r="A73" s="36">
        <v>2020</v>
      </c>
      <c r="B73" s="37">
        <v>8</v>
      </c>
      <c r="C73" s="38">
        <v>0.72000000000000008</v>
      </c>
      <c r="D73" s="38">
        <v>408.04020028421758</v>
      </c>
      <c r="E73" s="39">
        <v>2.2722294719447902</v>
      </c>
      <c r="F73" s="39">
        <v>-6.0689857338284101</v>
      </c>
      <c r="G73" s="40">
        <v>-1.306053364</v>
      </c>
      <c r="H73" s="40">
        <v>411.19428571428568</v>
      </c>
      <c r="I73" s="40">
        <f>monthly_averages[[#This Row],[CO2City (115m)]]*((monthly_averages[[#This Row],[D14CrefBG (JFJ)]]-monthly_averages[[#This Row],[D14Ccity (115m)]])/(monthly_averages[[#This Row],[D14CrefBG (JFJ)]]+1000))</f>
        <v>0.83250216427073076</v>
      </c>
      <c r="J73" s="41">
        <v>3.74920065905189</v>
      </c>
      <c r="K73" s="41">
        <v>-10.782268017006899</v>
      </c>
      <c r="L73" s="42">
        <f>monthly_averages[[#This Row],[CO2City (115m)]]-monthly_averages[[#This Row],[Cbg (JFJ)]]</f>
        <v>3.1540854300681076</v>
      </c>
      <c r="M73" s="42">
        <f>monthly_averages[[#This Row],[dC (115 m)]]-monthly_averages[[#This Row],[CO2ff (115m)]]</f>
        <v>2.3215832657973769</v>
      </c>
      <c r="N73" s="43">
        <v>-1.767778429</v>
      </c>
      <c r="O73" s="44">
        <v>432.64535714285705</v>
      </c>
      <c r="P73" s="44">
        <f>monthly_averages[[#This Row],[CO2 (10m)2]]*((monthly_averages[[#This Row],[D14CrefBG (JFJ)]]-monthly_averages[[#This Row],[D14Ccity (10m)]])/(monthly_averages[[#This Row],[D14CrefBG (JFJ)]]+1000))</f>
        <v>1.0755513899062683</v>
      </c>
      <c r="Q73" s="45">
        <v>4.5942087599223198</v>
      </c>
      <c r="R73" s="45">
        <v>0.34120421415305902</v>
      </c>
      <c r="S73" s="46">
        <f>monthly_averages[[#This Row],[CO2 (10m)2]]-monthly_averages[[#This Row],[Cbg (JFJ)]]</f>
        <v>24.605156858639475</v>
      </c>
      <c r="T73" s="47">
        <f>monthly_averages[[#This Row],[dC(10 m)]]-monthly_averages[[#This Row],[CO2ff (10m)]]</f>
        <v>23.529605468733205</v>
      </c>
      <c r="U73" s="35"/>
      <c r="Z73" s="52"/>
      <c r="AE73" s="53"/>
    </row>
    <row r="74" spans="1:31">
      <c r="A74" s="36">
        <v>2020</v>
      </c>
      <c r="B74" s="37">
        <v>9</v>
      </c>
      <c r="C74" s="38">
        <v>1.25</v>
      </c>
      <c r="D74" s="38">
        <v>409.57476234564405</v>
      </c>
      <c r="E74" s="39">
        <v>3.0554623216932799</v>
      </c>
      <c r="F74" s="39">
        <v>-4.7312001172562299</v>
      </c>
      <c r="G74" s="55">
        <v>7.9111000000000002</v>
      </c>
      <c r="H74" s="40">
        <v>411.8434482758621</v>
      </c>
      <c r="I74" s="40">
        <f>monthly_averages[[#This Row],[CO2City (115m)]]*((monthly_averages[[#This Row],[D14CrefBG (JFJ)]]-monthly_averages[[#This Row],[D14Ccity (115m)]])/(monthly_averages[[#This Row],[D14CrefBG (JFJ)]]+1000))</f>
        <v>-2.7399055114210689</v>
      </c>
      <c r="J74" s="41">
        <v>13.213780876413599</v>
      </c>
      <c r="K74" s="41">
        <v>-10.3486426667577</v>
      </c>
      <c r="L74" s="42">
        <f>monthly_averages[[#This Row],[CO2City (115m)]]-monthly_averages[[#This Row],[Cbg (JFJ)]]</f>
        <v>2.2686859302180551</v>
      </c>
      <c r="M74" s="42">
        <f>monthly_averages[[#This Row],[dC (115 m)]]-monthly_averages[[#This Row],[CO2ff (115m)]]</f>
        <v>5.0085914416391244</v>
      </c>
      <c r="N74" s="43">
        <v>-3.18052</v>
      </c>
      <c r="O74" s="44">
        <v>432.12310344827591</v>
      </c>
      <c r="P74" s="44">
        <f>monthly_averages[[#This Row],[CO2 (10m)2]]*((monthly_averages[[#This Row],[D14CrefBG (JFJ)]]-monthly_averages[[#This Row],[D14Ccity (10m)]])/(monthly_averages[[#This Row],[D14CrefBG (JFJ)]]+1000))</f>
        <v>1.9121398774428515</v>
      </c>
      <c r="Q74" s="45">
        <v>3.4430444783830199</v>
      </c>
      <c r="R74" s="45">
        <v>-0.42215087598934897</v>
      </c>
      <c r="S74" s="46">
        <f>monthly_averages[[#This Row],[CO2 (10m)2]]-monthly_averages[[#This Row],[Cbg (JFJ)]]</f>
        <v>22.548341102631866</v>
      </c>
      <c r="T74" s="47">
        <f>monthly_averages[[#This Row],[dC(10 m)]]-monthly_averages[[#This Row],[CO2ff (10m)]]</f>
        <v>20.636201225189016</v>
      </c>
      <c r="U74" s="35"/>
      <c r="Z74" s="52"/>
      <c r="AE74" s="53"/>
    </row>
    <row r="75" spans="1:31">
      <c r="A75" s="36">
        <v>2020</v>
      </c>
      <c r="B75" s="37">
        <v>10</v>
      </c>
      <c r="C75" s="38">
        <v>1.63</v>
      </c>
      <c r="D75" s="38">
        <v>412.50992886838918</v>
      </c>
      <c r="E75" s="39">
        <v>3.68869517144176</v>
      </c>
      <c r="F75" s="39">
        <v>-1.98341450068402</v>
      </c>
      <c r="G75" s="40">
        <v>0.83309999999999995</v>
      </c>
      <c r="H75" s="40">
        <v>424.44088235294112</v>
      </c>
      <c r="I75" s="40">
        <f>monthly_averages[[#This Row],[CO2City (115m)]]*((monthly_averages[[#This Row],[D14CrefBG (JFJ)]]-monthly_averages[[#This Row],[D14Ccity (115m)]])/(monthly_averages[[#This Row],[D14CrefBG (JFJ)]]+1000))</f>
        <v>0.3376865101355378</v>
      </c>
      <c r="J75" s="41">
        <v>6.3783610937753004</v>
      </c>
      <c r="K75" s="41">
        <v>2.0349826834915401</v>
      </c>
      <c r="L75" s="42">
        <f>monthly_averages[[#This Row],[CO2City (115m)]]-monthly_averages[[#This Row],[Cbg (JFJ)]]</f>
        <v>11.930953484551935</v>
      </c>
      <c r="M75" s="42">
        <f>monthly_averages[[#This Row],[dC (115 m)]]-monthly_averages[[#This Row],[CO2ff (115m)]]</f>
        <v>11.593266974416398</v>
      </c>
      <c r="N75" s="57">
        <v>-4.0360699999999996</v>
      </c>
      <c r="O75" s="44">
        <v>436.36147058823531</v>
      </c>
      <c r="P75" s="44">
        <f>monthly_averages[[#This Row],[CO2 (10m)2]]*((monthly_averages[[#This Row],[D14CrefBG (JFJ)]]-monthly_averages[[#This Row],[D14Ccity (10m)]])/(monthly_averages[[#This Row],[D14CrefBG (JFJ)]]+1000))</f>
        <v>2.4684310949710793</v>
      </c>
      <c r="Q75" s="45">
        <v>2.84188019684371</v>
      </c>
      <c r="R75" s="45">
        <v>3.5844940338682201</v>
      </c>
      <c r="S75" s="46">
        <f>monthly_averages[[#This Row],[CO2 (10m)2]]-monthly_averages[[#This Row],[Cbg (JFJ)]]</f>
        <v>23.851541719846125</v>
      </c>
      <c r="T75" s="47">
        <f>monthly_averages[[#This Row],[dC(10 m)]]-monthly_averages[[#This Row],[CO2ff (10m)]]</f>
        <v>21.383110624875044</v>
      </c>
      <c r="U75" s="35"/>
      <c r="Z75" s="52"/>
      <c r="AE75" s="53"/>
    </row>
    <row r="76" spans="1:31">
      <c r="A76" s="36">
        <v>2020</v>
      </c>
      <c r="B76" s="37">
        <v>11</v>
      </c>
      <c r="C76" s="38">
        <v>0.21</v>
      </c>
      <c r="D76" s="38">
        <v>414.00574522664857</v>
      </c>
      <c r="E76" s="39">
        <v>2.5219280211902499</v>
      </c>
      <c r="F76" s="39">
        <v>-0.67562888411181499</v>
      </c>
      <c r="G76" s="58">
        <v>-5.2709136631067244</v>
      </c>
      <c r="H76" s="40">
        <v>434.36857142857144</v>
      </c>
      <c r="I76" s="40">
        <f>monthly_averages[[#This Row],[CO2City (115m)]]*((monthly_averages[[#This Row],[D14CrefBG (JFJ)]]-monthly_averages[[#This Row],[D14Ccity (115m)]])/(monthly_averages[[#This Row],[D14CrefBG (JFJ)]]+1000))</f>
        <v>2.3802367882414757</v>
      </c>
      <c r="J76" s="41">
        <v>0.52294131113700504</v>
      </c>
      <c r="K76" s="41">
        <v>11.748608033740799</v>
      </c>
      <c r="L76" s="42">
        <f>monthly_averages[[#This Row],[CO2City (115m)]]-monthly_averages[[#This Row],[Cbg (JFJ)]]</f>
        <v>20.362826201922871</v>
      </c>
      <c r="M76" s="42">
        <f>monthly_averages[[#This Row],[dC (115 m)]]-monthly_averages[[#This Row],[CO2ff (115m)]]</f>
        <v>17.982589413681396</v>
      </c>
      <c r="N76" s="59">
        <v>-9.4703972820253668</v>
      </c>
      <c r="O76" s="44">
        <v>440.31071428571425</v>
      </c>
      <c r="P76" s="44">
        <f>monthly_averages[[#This Row],[CO2 (10m)2]]*((monthly_averages[[#This Row],[D14CrefBG (JFJ)]]-monthly_averages[[#This Row],[D14Ccity (10m)]])/(monthly_averages[[#This Row],[D14CrefBG (JFJ)]]+1000))</f>
        <v>4.2614877293949034</v>
      </c>
      <c r="Q76" s="45">
        <v>-2.32928408469559</v>
      </c>
      <c r="R76" s="45">
        <v>7.3011389437257801</v>
      </c>
      <c r="S76" s="46">
        <f>monthly_averages[[#This Row],[CO2 (10m)2]]-monthly_averages[[#This Row],[Cbg (JFJ)]]</f>
        <v>26.304969059065684</v>
      </c>
      <c r="T76" s="47">
        <f>monthly_averages[[#This Row],[dC(10 m)]]-monthly_averages[[#This Row],[CO2ff (10m)]]</f>
        <v>22.043481329670779</v>
      </c>
      <c r="U76" s="35"/>
      <c r="Z76" s="52"/>
      <c r="AE76" s="53"/>
    </row>
    <row r="77" spans="1:31">
      <c r="A77" s="60">
        <v>2020</v>
      </c>
      <c r="B77" s="61">
        <v>12</v>
      </c>
      <c r="C77" s="38">
        <v>-3.375</v>
      </c>
      <c r="D77" s="38">
        <v>417.52181429327101</v>
      </c>
      <c r="E77" s="39">
        <v>-0.81483912906126099</v>
      </c>
      <c r="F77" s="39">
        <v>2.6421567324603799</v>
      </c>
      <c r="G77" s="58">
        <v>-9.130488159731609</v>
      </c>
      <c r="H77" s="40">
        <v>434.55551724137933</v>
      </c>
      <c r="I77" s="40">
        <f>monthly_averages[[#This Row],[CO2City (115m)]]*((monthly_averages[[#This Row],[D14CrefBG (JFJ)]]-monthly_averages[[#This Row],[D14Ccity (115m)]])/(monthly_averages[[#This Row],[D14CrefBG (JFJ)]]+1000))</f>
        <v>2.5095488616368282</v>
      </c>
      <c r="J77" s="62">
        <v>-3.0924784715012898</v>
      </c>
      <c r="K77" s="62">
        <v>11.72223338399</v>
      </c>
      <c r="L77" s="63">
        <f>monthly_averages[[#This Row],[CO2City (115m)]]-monthly_averages[[#This Row],[Cbg (JFJ)]]</f>
        <v>17.033702948108328</v>
      </c>
      <c r="M77" s="42">
        <f>monthly_averages[[#This Row],[dC (115 m)]]-monthly_averages[[#This Row],[CO2ff (115m)]]</f>
        <v>14.5241540864715</v>
      </c>
      <c r="N77" s="59">
        <v>-12.727965559291011</v>
      </c>
      <c r="O77" s="64">
        <v>437.40896551724148</v>
      </c>
      <c r="P77" s="64">
        <f>monthly_averages[[#This Row],[CO2 (10m)2]]*((monthly_averages[[#This Row],[D14CrefBG (JFJ)]]-monthly_averages[[#This Row],[D14Ccity (10m)]])/(monthly_averages[[#This Row],[D14CrefBG (JFJ)]]+1000))</f>
        <v>4.1049251120610748</v>
      </c>
      <c r="Q77" s="65">
        <v>-5.33044836623489</v>
      </c>
      <c r="R77" s="65">
        <v>4.1677838535833596</v>
      </c>
      <c r="S77" s="66">
        <f>monthly_averages[[#This Row],[CO2 (10m)2]]-monthly_averages[[#This Row],[Cbg (JFJ)]]</f>
        <v>19.887151223970477</v>
      </c>
      <c r="T77" s="67">
        <f>monthly_averages[[#This Row],[dC(10 m)]]-monthly_averages[[#This Row],[CO2ff (10m)]]</f>
        <v>15.782226111909402</v>
      </c>
      <c r="U77" s="35"/>
      <c r="AE77" s="53"/>
    </row>
    <row r="78" spans="1:31">
      <c r="A78" s="60">
        <v>2021</v>
      </c>
      <c r="B78" s="37">
        <v>1</v>
      </c>
      <c r="C78" s="68">
        <v>-5.71</v>
      </c>
      <c r="D78" s="68">
        <v>418.92</v>
      </c>
      <c r="E78" s="127">
        <v>-2.8916062793127701</v>
      </c>
      <c r="F78" s="127">
        <v>3.8499423490326299</v>
      </c>
      <c r="G78" s="69">
        <v>-9.1840115765264851</v>
      </c>
      <c r="H78" s="70">
        <v>433.88</v>
      </c>
      <c r="I78" s="71">
        <f>monthly_averages[[#This Row],[CO2City (115m)]]*((monthly_averages[[#This Row],[D14CrefBG (JFJ)]]-monthly_averages[[#This Row],[D14Ccity (115m)]])/(monthly_averages[[#This Row],[D14CrefBG (JFJ)]]+1000))</f>
        <v>1.5159602759992672</v>
      </c>
      <c r="J78" s="72">
        <v>-2.8978982541395899</v>
      </c>
      <c r="K78" s="72">
        <v>10.825858734239199</v>
      </c>
      <c r="L78" s="73">
        <f>monthly_averages[[#This Row],[CO2City (115m)]]-monthly_averages[[#This Row],[Cbg (JFJ)]]</f>
        <v>14.95999999999998</v>
      </c>
      <c r="M78" s="73">
        <f>monthly_averages[[#This Row],[dC (115 m)]]-monthly_averages[[#This Row],[CO2ff (115m)]]</f>
        <v>13.444039724000712</v>
      </c>
      <c r="N78" s="74">
        <v>-9.4995692841695067</v>
      </c>
      <c r="O78" s="64">
        <v>438.67</v>
      </c>
      <c r="P78" s="64">
        <f>monthly_averages[[#This Row],[CO2 (10m)2]]*((monthly_averages[[#This Row],[D14CrefBG (JFJ)]]-monthly_averages[[#This Row],[D14Ccity (10m)]])/(monthly_averages[[#This Row],[D14CrefBG (JFJ)]]+1000))</f>
        <v>1.6719170039793598</v>
      </c>
      <c r="Q78" s="65">
        <v>-1.8416126477742001</v>
      </c>
      <c r="R78" s="65">
        <v>5.1944287634409196</v>
      </c>
      <c r="S78" s="66">
        <f>monthly_averages[[#This Row],[CO2 (10m)2]]-monthly_averages[[#This Row],[Cbg (JFJ)]]</f>
        <v>19.75</v>
      </c>
      <c r="T78" s="67">
        <f>monthly_averages[[#This Row],[dC(10 m)]]-monthly_averages[[#This Row],[CO2ff (10m)]]</f>
        <v>18.07808299602064</v>
      </c>
      <c r="AE78" s="53"/>
    </row>
    <row r="79" spans="1:31">
      <c r="A79" s="60">
        <v>2021</v>
      </c>
      <c r="B79" s="37">
        <v>2</v>
      </c>
      <c r="C79" s="68">
        <v>0.05</v>
      </c>
      <c r="D79" s="68">
        <v>418.53</v>
      </c>
      <c r="E79" s="127">
        <v>3.1216265704357098</v>
      </c>
      <c r="F79" s="127">
        <v>3.2677279656047902</v>
      </c>
      <c r="G79" s="75">
        <v>-14.15041096</v>
      </c>
      <c r="H79" s="70">
        <v>432</v>
      </c>
      <c r="I79" s="71">
        <f>monthly_averages[[#This Row],[CO2City (115m)]]*((monthly_averages[[#This Row],[D14CrefBG (JFJ)]]-monthly_averages[[#This Row],[D14Ccity (115m)]])/(monthly_averages[[#This Row],[D14CrefBG (JFJ)]]+1000))</f>
        <v>6.1342708211789416</v>
      </c>
      <c r="J79" s="72">
        <v>-7.6233180367778797</v>
      </c>
      <c r="K79" s="72">
        <v>8.7294840844884405</v>
      </c>
      <c r="L79" s="73">
        <f>monthly_averages[[#This Row],[CO2City (115m)]]-monthly_averages[[#This Row],[Cbg (JFJ)]]</f>
        <v>13.470000000000027</v>
      </c>
      <c r="M79" s="73">
        <f>monthly_averages[[#This Row],[dC (115 m)]]-monthly_averages[[#This Row],[CO2ff (115m)]]</f>
        <v>7.3357291788210857</v>
      </c>
      <c r="N79" s="74">
        <v>-12.876001414923955</v>
      </c>
      <c r="O79" s="64">
        <v>437</v>
      </c>
      <c r="P79" s="64">
        <f>monthly_averages[[#This Row],[CO2 (10m)2]]*((monthly_averages[[#This Row],[D14CrefBG (JFJ)]]-monthly_averages[[#This Row],[D14Ccity (10m)]])/(monthly_averages[[#This Row],[D14CrefBG (JFJ)]]+1000))</f>
        <v>5.648380199311803</v>
      </c>
      <c r="Q79" s="65">
        <v>-4.9627769293134998</v>
      </c>
      <c r="R79" s="65">
        <v>3.2910736732984698</v>
      </c>
      <c r="S79" s="66">
        <f>monthly_averages[[#This Row],[CO2 (10m)2]]-monthly_averages[[#This Row],[Cbg (JFJ)]]</f>
        <v>18.470000000000027</v>
      </c>
      <c r="T79" s="67">
        <f>monthly_averages[[#This Row],[dC(10 m)]]-monthly_averages[[#This Row],[CO2ff (10m)]]</f>
        <v>12.821619800688225</v>
      </c>
    </row>
    <row r="80" spans="1:31">
      <c r="A80" s="60">
        <v>2021</v>
      </c>
      <c r="B80" s="37">
        <v>3</v>
      </c>
      <c r="C80" s="68">
        <v>-6.39</v>
      </c>
      <c r="D80" s="68">
        <v>420.05</v>
      </c>
      <c r="E80" s="127">
        <v>-3.0651405798157998</v>
      </c>
      <c r="F80" s="127">
        <v>4.5955135821770403</v>
      </c>
      <c r="G80" s="69">
        <v>-0.6145504905693544</v>
      </c>
      <c r="H80" s="70">
        <v>430.2</v>
      </c>
      <c r="I80" s="71">
        <f>monthly_averages[[#This Row],[CO2City (115m)]]*((monthly_averages[[#This Row],[D14CrefBG (JFJ)]]-monthly_averages[[#This Row],[D14Ccity (115m)]])/(monthly_averages[[#This Row],[D14CrefBG (JFJ)]]+1000))</f>
        <v>-2.5005770664114326</v>
      </c>
      <c r="J80" s="72">
        <v>6.1612621805838197</v>
      </c>
      <c r="K80" s="72">
        <v>6.7131094347376497</v>
      </c>
      <c r="L80" s="73">
        <f>monthly_averages[[#This Row],[CO2City (115m)]]-monthly_averages[[#This Row],[Cbg (JFJ)]]</f>
        <v>10.149999999999977</v>
      </c>
      <c r="M80" s="73">
        <f>monthly_averages[[#This Row],[dC (115 m)]]-monthly_averages[[#This Row],[CO2ff (115m)]]</f>
        <v>12.65057706641141</v>
      </c>
      <c r="N80" s="74">
        <v>-1.24134092875039</v>
      </c>
      <c r="O80" s="64">
        <v>434.43</v>
      </c>
      <c r="P80" s="64">
        <f>monthly_averages[[#This Row],[CO2 (10m)2]]*((monthly_averages[[#This Row],[D14CrefBG (JFJ)]]-monthly_averages[[#This Row],[D14Ccity (10m)]])/(monthly_averages[[#This Row],[D14CrefBG (JFJ)]]+1000))</f>
        <v>-2.2511165953673653</v>
      </c>
      <c r="Q80" s="65">
        <v>6.9360587891472001</v>
      </c>
      <c r="R80" s="65">
        <v>0.48771858315604</v>
      </c>
      <c r="S80" s="66">
        <f>monthly_averages[[#This Row],[CO2 (10m)2]]-monthly_averages[[#This Row],[Cbg (JFJ)]]</f>
        <v>14.379999999999995</v>
      </c>
      <c r="T80" s="67">
        <f>monthly_averages[[#This Row],[dC(10 m)]]-monthly_averages[[#This Row],[CO2ff (10m)]]</f>
        <v>16.631116595367359</v>
      </c>
    </row>
    <row r="81" spans="1:22">
      <c r="A81" s="60">
        <v>2021</v>
      </c>
      <c r="B81" s="37">
        <v>4</v>
      </c>
      <c r="C81" s="68">
        <v>-5.3</v>
      </c>
      <c r="D81" s="68">
        <v>421.03</v>
      </c>
      <c r="E81" s="127">
        <v>-1.72190773006731</v>
      </c>
      <c r="F81" s="127">
        <v>5.38329919874921</v>
      </c>
      <c r="G81" s="69">
        <v>-7.5416625237062496</v>
      </c>
      <c r="H81" s="70"/>
      <c r="I81" s="71"/>
      <c r="J81" s="72">
        <v>-0.52415760205447104</v>
      </c>
      <c r="K81" s="72" t="s">
        <v>158</v>
      </c>
      <c r="L81" s="73"/>
      <c r="M81" s="73"/>
      <c r="N81" s="74">
        <v>-6.43654890033085</v>
      </c>
      <c r="O81" s="64"/>
      <c r="P81" s="64"/>
      <c r="Q81" s="65">
        <v>1.9948945076079001</v>
      </c>
      <c r="R81" s="65" t="s">
        <v>158</v>
      </c>
      <c r="S81" s="66"/>
      <c r="T81" s="67"/>
    </row>
    <row r="82" spans="1:22">
      <c r="A82" s="60">
        <v>2021</v>
      </c>
      <c r="B82" s="37">
        <v>5</v>
      </c>
      <c r="C82" s="68">
        <v>-6.46</v>
      </c>
      <c r="D82" s="68">
        <v>420.1</v>
      </c>
      <c r="E82" s="127">
        <v>-2.6286748803188198</v>
      </c>
      <c r="F82" s="127">
        <v>4.2610848153214604</v>
      </c>
      <c r="G82" s="75">
        <v>-11.19655886</v>
      </c>
      <c r="H82" s="70">
        <v>420.28</v>
      </c>
      <c r="I82" s="71">
        <f>monthly_averages[[#This Row],[CO2City (115m)]]*((monthly_averages[[#This Row],[D14CrefBG (JFJ)]]-monthly_averages[[#This Row],[D14Ccity (115m)]])/(monthly_averages[[#This Row],[D14CrefBG (JFJ)]]+1000))</f>
        <v>2.0036243711182236</v>
      </c>
      <c r="J82" s="72">
        <v>-3.93957738469277</v>
      </c>
      <c r="K82" s="72">
        <v>-3.6396398647639101</v>
      </c>
      <c r="L82" s="73">
        <f>monthly_averages[[#This Row],[CO2City (115m)]]-monthly_averages[[#This Row],[Cbg (JFJ)]]</f>
        <v>0.17999999999994998</v>
      </c>
      <c r="M82" s="73">
        <f>monthly_averages[[#This Row],[dC (115 m)]]-monthly_averages[[#This Row],[CO2ff (115m)]]</f>
        <v>-1.8236243711182736</v>
      </c>
      <c r="N82" s="74">
        <v>-8.0800642364385897</v>
      </c>
      <c r="O82" s="64">
        <v>429.82</v>
      </c>
      <c r="P82" s="64">
        <f>monthly_averages[[#This Row],[CO2 (10m)2]]*((monthly_averages[[#This Row],[D14CrefBG (JFJ)]]-monthly_averages[[#This Row],[D14Ccity (10m)]])/(monthly_averages[[#This Row],[D14CrefBG (JFJ)]]+1000))</f>
        <v>0.70086358889026579</v>
      </c>
      <c r="Q82" s="65">
        <v>0.61373022606859395</v>
      </c>
      <c r="R82" s="65">
        <v>-4.5889915971288398</v>
      </c>
      <c r="S82" s="66">
        <f>monthly_averages[[#This Row],[CO2 (10m)2]]-monthly_averages[[#This Row],[Cbg (JFJ)]]</f>
        <v>9.7199999999999704</v>
      </c>
      <c r="T82" s="67">
        <f>monthly_averages[[#This Row],[dC(10 m)]]-monthly_averages[[#This Row],[CO2ff (10m)]]</f>
        <v>9.0191364111097041</v>
      </c>
    </row>
    <row r="83" spans="1:22">
      <c r="A83" s="60">
        <v>2021</v>
      </c>
      <c r="B83" s="37">
        <v>6</v>
      </c>
      <c r="C83" s="68">
        <v>-3.91</v>
      </c>
      <c r="D83" s="68">
        <v>417.47</v>
      </c>
      <c r="E83" s="127">
        <v>0.17455796942966301</v>
      </c>
      <c r="F83" s="127">
        <v>1.43887043189368</v>
      </c>
      <c r="G83" s="75">
        <v>-6.6738903020000002</v>
      </c>
      <c r="H83" s="70">
        <v>419.04</v>
      </c>
      <c r="I83" s="71">
        <f>monthly_averages[[#This Row],[CO2City (115m)]]*((monthly_averages[[#This Row],[D14CrefBG (JFJ)]]-monthly_averages[[#This Row],[D14Ccity (115m)]])/(monthly_averages[[#This Row],[D14CrefBG (JFJ)]]+1000))</f>
        <v>1.1627268541498059</v>
      </c>
      <c r="J83" s="72">
        <v>0.83500283266893904</v>
      </c>
      <c r="K83" s="72">
        <v>-5.09601451451464</v>
      </c>
      <c r="L83" s="73">
        <f>monthly_averages[[#This Row],[CO2City (115m)]]-monthly_averages[[#This Row],[Cbg (JFJ)]]</f>
        <v>1.5699999999999932</v>
      </c>
      <c r="M83" s="73">
        <f>monthly_averages[[#This Row],[dC (115 m)]]-monthly_averages[[#This Row],[CO2ff (115m)]]</f>
        <v>0.40727314585018726</v>
      </c>
      <c r="N83" s="74">
        <v>-6.4424299273880825</v>
      </c>
      <c r="O83" s="64">
        <v>435.85</v>
      </c>
      <c r="P83" s="64">
        <f>monthly_averages[[#This Row],[CO2 (10m)2]]*((monthly_averages[[#This Row],[D14CrefBG (JFJ)]]-monthly_averages[[#This Row],[D14Ccity (10m)]])/(monthly_averages[[#This Row],[D14CrefBG (JFJ)]]+1000))</f>
        <v>1.108092224449694</v>
      </c>
      <c r="Q83" s="65">
        <v>2.5125659445292898</v>
      </c>
      <c r="R83" s="65">
        <v>1.2076533127287501</v>
      </c>
      <c r="S83" s="66">
        <f>monthly_averages[[#This Row],[CO2 (10m)2]]-monthly_averages[[#This Row],[Cbg (JFJ)]]</f>
        <v>18.379999999999995</v>
      </c>
      <c r="T83" s="67">
        <f>monthly_averages[[#This Row],[dC(10 m)]]-monthly_averages[[#This Row],[CO2ff (10m)]]</f>
        <v>17.2719077755503</v>
      </c>
    </row>
    <row r="84" spans="1:22">
      <c r="A84" s="60">
        <v>2021</v>
      </c>
      <c r="B84" s="37">
        <v>7</v>
      </c>
      <c r="C84" s="68">
        <v>-2</v>
      </c>
      <c r="D84" s="68">
        <v>413.27</v>
      </c>
      <c r="E84" s="127">
        <v>2.3377908191781498</v>
      </c>
      <c r="F84" s="127">
        <v>-2.9533439515341602</v>
      </c>
      <c r="G84" s="75">
        <v>-6.2651662339999996</v>
      </c>
      <c r="H84" s="70">
        <v>419.92</v>
      </c>
      <c r="I84" s="71">
        <f>monthly_averages[[#This Row],[CO2City (115m)]]*((monthly_averages[[#This Row],[D14CrefBG (JFJ)]]-monthly_averages[[#This Row],[D14Ccity (115m)]])/(monthly_averages[[#This Row],[D14CrefBG (JFJ)]]+1000))</f>
        <v>1.7946178406626052</v>
      </c>
      <c r="J84" s="72">
        <v>1.4795830500306399</v>
      </c>
      <c r="K84" s="72">
        <v>-4.4323891642654196</v>
      </c>
      <c r="L84" s="73">
        <f>monthly_averages[[#This Row],[CO2City (115m)]]-monthly_averages[[#This Row],[Cbg (JFJ)]]</f>
        <v>6.6500000000000341</v>
      </c>
      <c r="M84" s="73">
        <f>monthly_averages[[#This Row],[dC (115 m)]]-monthly_averages[[#This Row],[CO2ff (115m)]]</f>
        <v>4.8553821593374291</v>
      </c>
      <c r="N84" s="76">
        <v>-4.6897092760000003</v>
      </c>
      <c r="O84" s="64">
        <v>434.93</v>
      </c>
      <c r="P84" s="64">
        <f>monthly_averages[[#This Row],[CO2 (10m)2]]*((monthly_averages[[#This Row],[D14CrefBG (JFJ)]]-monthly_averages[[#This Row],[D14Ccity (10m)]])/(monthly_averages[[#This Row],[D14CrefBG (JFJ)]]+1000))</f>
        <v>1.1721796146399601</v>
      </c>
      <c r="Q84" s="65">
        <v>4.52140166298999</v>
      </c>
      <c r="R84" s="65">
        <v>5.4298222586298003E-2</v>
      </c>
      <c r="S84" s="66">
        <f>monthly_averages[[#This Row],[CO2 (10m)2]]-monthly_averages[[#This Row],[Cbg (JFJ)]]</f>
        <v>21.660000000000025</v>
      </c>
      <c r="T84" s="67">
        <f>monthly_averages[[#This Row],[dC(10 m)]]-monthly_averages[[#This Row],[CO2ff (10m)]]</f>
        <v>20.487820385360067</v>
      </c>
    </row>
    <row r="85" spans="1:22">
      <c r="A85" s="60">
        <v>2021</v>
      </c>
      <c r="B85" s="37">
        <v>8</v>
      </c>
      <c r="C85" s="68">
        <v>-3.72</v>
      </c>
      <c r="D85" s="68">
        <v>409.75</v>
      </c>
      <c r="E85" s="127">
        <v>0.87102366892663696</v>
      </c>
      <c r="F85" s="127">
        <v>-6.6655583349619398</v>
      </c>
      <c r="G85" s="69">
        <v>-2.9999230878963168</v>
      </c>
      <c r="H85" s="70">
        <v>418.44</v>
      </c>
      <c r="I85" s="71">
        <f>monthly_averages[[#This Row],[CO2City (115m)]]*((monthly_averages[[#This Row],[D14CrefBG (JFJ)]]-monthly_averages[[#This Row],[D14Ccity (115m)]])/(monthly_averages[[#This Row],[D14CrefBG (JFJ)]]+1000))</f>
        <v>-0.30243403772098737</v>
      </c>
      <c r="J85" s="72">
        <v>4.9941632673923504</v>
      </c>
      <c r="K85" s="72">
        <v>-6.1287638140162199</v>
      </c>
      <c r="L85" s="73">
        <f>monthly_averages[[#This Row],[CO2City (115m)]]-monthly_averages[[#This Row],[Cbg (JFJ)]]</f>
        <v>8.6899999999999977</v>
      </c>
      <c r="M85" s="73">
        <f>monthly_averages[[#This Row],[dC (115 m)]]-monthly_averages[[#This Row],[CO2ff (115m)]]</f>
        <v>8.9924340377209848</v>
      </c>
      <c r="N85" s="76">
        <v>-1.3189045210000001</v>
      </c>
      <c r="O85" s="64">
        <v>439.27</v>
      </c>
      <c r="P85" s="64">
        <f>monthly_averages[[#This Row],[CO2 (10m)2]]*((monthly_averages[[#This Row],[D14CrefBG (JFJ)]]-monthly_averages[[#This Row],[D14Ccity (10m)]])/(monthly_averages[[#This Row],[D14CrefBG (JFJ)]]+1000))</f>
        <v>-1.0586674539891698</v>
      </c>
      <c r="Q85" s="65">
        <v>8.1502373814506903</v>
      </c>
      <c r="R85" s="65">
        <v>4.1609431324438404</v>
      </c>
      <c r="S85" s="66">
        <f>monthly_averages[[#This Row],[CO2 (10m)2]]-monthly_averages[[#This Row],[Cbg (JFJ)]]</f>
        <v>29.519999999999982</v>
      </c>
      <c r="T85" s="67">
        <f>monthly_averages[[#This Row],[dC(10 m)]]-monthly_averages[[#This Row],[CO2ff (10m)]]</f>
        <v>30.578667453989151</v>
      </c>
    </row>
    <row r="86" spans="1:22">
      <c r="A86" s="60">
        <v>2021</v>
      </c>
      <c r="B86" s="37">
        <v>9</v>
      </c>
      <c r="C86" s="68">
        <v>-3.84</v>
      </c>
      <c r="D86" s="68">
        <v>411.83</v>
      </c>
      <c r="E86" s="127">
        <v>1.00425651867513</v>
      </c>
      <c r="F86" s="127">
        <v>-4.7777727183897403</v>
      </c>
      <c r="G86" s="69">
        <v>-5.7369998433627334</v>
      </c>
      <c r="H86" s="70">
        <v>421.46</v>
      </c>
      <c r="I86" s="71">
        <f>monthly_averages[[#This Row],[CO2City (115m)]]*((monthly_averages[[#This Row],[D14CrefBG (JFJ)]]-monthly_averages[[#This Row],[D14Ccity (115m)]])/(monthly_averages[[#This Row],[D14CrefBG (JFJ)]]+1000))</f>
        <v>0.80259150536425639</v>
      </c>
      <c r="J86" s="72">
        <v>2.4987434847540499</v>
      </c>
      <c r="K86" s="72">
        <v>-3.3251384637670101</v>
      </c>
      <c r="L86" s="73">
        <f>monthly_averages[[#This Row],[CO2City (115m)]]-monthly_averages[[#This Row],[Cbg (JFJ)]]</f>
        <v>9.6299999999999955</v>
      </c>
      <c r="M86" s="73">
        <f>monthly_averages[[#This Row],[dC (115 m)]]-monthly_averages[[#This Row],[CO2ff (115m)]]</f>
        <v>8.8274084946357387</v>
      </c>
      <c r="N86" s="76">
        <v>-7.209168418</v>
      </c>
      <c r="O86" s="64">
        <v>439.13</v>
      </c>
      <c r="P86" s="64">
        <f>monthly_averages[[#This Row],[CO2 (10m)2]]*((monthly_averages[[#This Row],[D14CrefBG (JFJ)]]-monthly_averages[[#This Row],[D14Ccity (10m)]])/(monthly_averages[[#This Row],[D14CrefBG (JFJ)]]+1000))</f>
        <v>1.4852061188928887</v>
      </c>
      <c r="Q86" s="65">
        <v>2.5190730999113802</v>
      </c>
      <c r="R86" s="65">
        <v>3.7875880423014201</v>
      </c>
      <c r="S86" s="66">
        <f>monthly_averages[[#This Row],[CO2 (10m)2]]-monthly_averages[[#This Row],[Cbg (JFJ)]]</f>
        <v>27.300000000000011</v>
      </c>
      <c r="T86" s="67">
        <f>monthly_averages[[#This Row],[dC(10 m)]]-monthly_averages[[#This Row],[CO2ff (10m)]]</f>
        <v>25.814793881107121</v>
      </c>
    </row>
    <row r="87" spans="1:22">
      <c r="A87" s="60">
        <v>2021</v>
      </c>
      <c r="B87" s="37">
        <v>10</v>
      </c>
      <c r="C87" s="68">
        <v>-5.9</v>
      </c>
      <c r="D87" s="77">
        <v>414.88</v>
      </c>
      <c r="E87" s="78">
        <v>-0.80251063157638802</v>
      </c>
      <c r="F87" s="78">
        <v>-1.9199871018175301</v>
      </c>
      <c r="G87" s="69">
        <v>-9.924510437608113</v>
      </c>
      <c r="H87" s="70">
        <v>426.58</v>
      </c>
      <c r="I87" s="71">
        <f>monthly_averages[[#This Row],[CO2City (115m)]]*((monthly_averages[[#This Row],[D14CrefBG (JFJ)]]-monthly_averages[[#This Row],[D14Ccity (115m)]])/(monthly_averages[[#This Row],[D14CrefBG (JFJ)]]+1000))</f>
        <v>1.7269647545265756</v>
      </c>
      <c r="J87" s="72">
        <v>-1.43667629788424</v>
      </c>
      <c r="K87" s="72">
        <v>1.5784868864822199</v>
      </c>
      <c r="L87" s="73">
        <f>monthly_averages[[#This Row],[CO2City (115m)]]-monthly_averages[[#This Row],[Cbg (JFJ)]]</f>
        <v>11.699999999999989</v>
      </c>
      <c r="M87" s="73">
        <f>monthly_averages[[#This Row],[dC (115 m)]]-monthly_averages[[#This Row],[CO2ff (115m)]]</f>
        <v>9.9730352454734135</v>
      </c>
      <c r="N87" s="74">
        <v>-21.36599114896509</v>
      </c>
      <c r="O87" s="64">
        <v>434.47</v>
      </c>
      <c r="P87" s="64">
        <f>monthly_averages[[#This Row],[CO2 (10m)2]]*((monthly_averages[[#This Row],[D14CrefBG (JFJ)]]-monthly_averages[[#This Row],[D14Ccity (10m)]])/(monthly_averages[[#This Row],[D14CrefBG (JFJ)]]+1000))</f>
        <v>6.7593895729713944</v>
      </c>
      <c r="Q87" s="65">
        <v>-11.382091181627899</v>
      </c>
      <c r="R87" s="65">
        <v>-1.10576704784099</v>
      </c>
      <c r="S87" s="66">
        <f>monthly_averages[[#This Row],[CO2 (10m)2]]-monthly_averages[[#This Row],[Cbg (JFJ)]]</f>
        <v>19.590000000000032</v>
      </c>
      <c r="T87" s="67">
        <f>monthly_averages[[#This Row],[dC(10 m)]]-monthly_averages[[#This Row],[CO2ff (10m)]]</f>
        <v>12.830610427028638</v>
      </c>
    </row>
    <row r="88" spans="1:22">
      <c r="A88" s="60">
        <v>2021</v>
      </c>
      <c r="B88" s="37">
        <v>11</v>
      </c>
      <c r="C88" s="68">
        <v>-7.7</v>
      </c>
      <c r="D88" s="68">
        <v>418.32</v>
      </c>
      <c r="E88" s="127">
        <v>-2.3492777818279</v>
      </c>
      <c r="F88" s="127">
        <v>1.32779851475468</v>
      </c>
      <c r="G88" s="75">
        <v>-13.45948158</v>
      </c>
      <c r="H88" s="70">
        <v>433.39</v>
      </c>
      <c r="I88" s="71">
        <f>monthly_averages[[#This Row],[CO2City (115m)]]*((monthly_averages[[#This Row],[D14CrefBG (JFJ)]]-monthly_averages[[#This Row],[D14Ccity (115m)]])/(monthly_averages[[#This Row],[D14CrefBG (JFJ)]]+1000))</f>
        <v>2.5154708474818102</v>
      </c>
      <c r="J88" s="72">
        <v>-4.73209608052254</v>
      </c>
      <c r="K88" s="72">
        <v>8.17211223673144</v>
      </c>
      <c r="L88" s="73">
        <f>monthly_averages[[#This Row],[CO2City (115m)]]-monthly_averages[[#This Row],[Cbg (JFJ)]]</f>
        <v>15.069999999999993</v>
      </c>
      <c r="M88" s="73">
        <f>monthly_averages[[#This Row],[dC (115 m)]]-monthly_averages[[#This Row],[CO2ff (115m)]]</f>
        <v>12.554529152518183</v>
      </c>
      <c r="N88" s="76">
        <v>-13.78112552</v>
      </c>
      <c r="O88" s="64">
        <v>440.18</v>
      </c>
      <c r="P88" s="64">
        <f>monthly_averages[[#This Row],[CO2 (10m)2]]*((monthly_averages[[#This Row],[D14CrefBG (JFJ)]]-monthly_averages[[#This Row],[D14Ccity (10m)]])/(monthly_averages[[#This Row],[D14CrefBG (JFJ)]]+1000))</f>
        <v>2.6975610514900734</v>
      </c>
      <c r="Q88" s="65">
        <v>-3.5332554631672202</v>
      </c>
      <c r="R88" s="65">
        <v>4.3708778620165596</v>
      </c>
      <c r="S88" s="66">
        <f>monthly_averages[[#This Row],[CO2 (10m)2]]-monthly_averages[[#This Row],[Cbg (JFJ)]]</f>
        <v>21.860000000000014</v>
      </c>
      <c r="T88" s="67">
        <f>monthly_averages[[#This Row],[dC(10 m)]]-monthly_averages[[#This Row],[CO2ff (10m)]]</f>
        <v>19.162438948509941</v>
      </c>
    </row>
    <row r="89" spans="1:22">
      <c r="A89" s="60">
        <v>2021</v>
      </c>
      <c r="B89" s="61">
        <v>12</v>
      </c>
      <c r="C89" s="68">
        <v>-8.81</v>
      </c>
      <c r="D89" s="68">
        <v>418.74</v>
      </c>
      <c r="E89" s="127">
        <v>-3.20604493207941</v>
      </c>
      <c r="F89" s="127">
        <v>1.5555841313269001</v>
      </c>
      <c r="G89" s="75">
        <v>-11.94214019</v>
      </c>
      <c r="H89" s="70">
        <v>440.83</v>
      </c>
      <c r="I89" s="71">
        <f>monthly_averages[[#This Row],[CO2City (115m)]]*((monthly_averages[[#This Row],[D14CrefBG (JFJ)]]-monthly_averages[[#This Row],[D14Ccity (115m)]])/(monthly_averages[[#This Row],[D14CrefBG (JFJ)]]+1000))</f>
        <v>1.3930138116382325</v>
      </c>
      <c r="J89" s="72">
        <v>-2.96751586316083</v>
      </c>
      <c r="K89" s="72">
        <v>15.395737586980699</v>
      </c>
      <c r="L89" s="73">
        <f>monthly_averages[[#This Row],[CO2City (115m)]]-monthly_averages[[#This Row],[Cbg (JFJ)]]</f>
        <v>22.089999999999975</v>
      </c>
      <c r="M89" s="73">
        <f>monthly_averages[[#This Row],[dC (115 m)]]-monthly_averages[[#This Row],[CO2ff (115m)]]</f>
        <v>20.696986188361741</v>
      </c>
      <c r="N89" s="74">
        <v>-12.279784159971108</v>
      </c>
      <c r="O89" s="64">
        <v>449.48</v>
      </c>
      <c r="P89" s="64">
        <f>monthly_averages[[#This Row],[CO2 (10m)2]]*((monthly_averages[[#This Row],[D14CrefBG (JFJ)]]-monthly_averages[[#This Row],[D14Ccity (10m)]])/(monthly_averages[[#This Row],[D14CrefBG (JFJ)]]+1000))</f>
        <v>1.5734607736395778</v>
      </c>
      <c r="Q89" s="65">
        <v>-1.77441974470653</v>
      </c>
      <c r="R89" s="65">
        <v>13.4375227718741</v>
      </c>
      <c r="S89" s="66">
        <f>monthly_averages[[#This Row],[CO2 (10m)2]]-monthly_averages[[#This Row],[Cbg (JFJ)]]</f>
        <v>30.740000000000009</v>
      </c>
      <c r="T89" s="67">
        <f>monthly_averages[[#This Row],[dC(10 m)]]-monthly_averages[[#This Row],[CO2ff (10m)]]</f>
        <v>29.166539226360431</v>
      </c>
    </row>
    <row r="90" spans="1:22" ht="20" thickBot="1">
      <c r="A90" s="60"/>
      <c r="B90" s="61"/>
      <c r="G90" s="55"/>
      <c r="I90" s="79"/>
      <c r="J90" s="62"/>
      <c r="K90" s="62"/>
      <c r="L90" s="42"/>
      <c r="M90" s="63"/>
      <c r="O90" s="64"/>
      <c r="P90" s="64"/>
      <c r="Q90" s="65"/>
      <c r="R90" s="65"/>
      <c r="S90" s="66"/>
      <c r="T90" s="67"/>
    </row>
    <row r="91" spans="1:22">
      <c r="H91" s="80"/>
      <c r="I91" s="80"/>
      <c r="J91" s="81"/>
      <c r="K91" s="81"/>
      <c r="L91" s="80"/>
      <c r="M91" s="82"/>
      <c r="N91" s="83" t="s">
        <v>159</v>
      </c>
      <c r="O91" s="84"/>
      <c r="P91" s="85"/>
      <c r="Q91" s="86"/>
      <c r="R91" s="86"/>
      <c r="S91" s="87"/>
      <c r="T91" s="87"/>
      <c r="V91" s="88" t="s">
        <v>179</v>
      </c>
    </row>
    <row r="92" spans="1:22">
      <c r="H92" s="89" t="s">
        <v>160</v>
      </c>
      <c r="I92" s="89">
        <f>AVERAGE(monthly_averages[CO2ff (115m)])</f>
        <v>1.5544620850532713</v>
      </c>
      <c r="J92" s="90" t="s">
        <v>161</v>
      </c>
      <c r="K92" s="90" t="s">
        <v>162</v>
      </c>
      <c r="L92" s="89">
        <f>AVERAGE(monthly_averages[dC (115 m)])</f>
        <v>7.1108003244759255</v>
      </c>
      <c r="M92" s="91">
        <f>AVERAGE(monthly_averages[Cmod (115 m) ])</f>
        <v>5.3600096318600396</v>
      </c>
      <c r="N92" s="92">
        <f>STDEV(monthly_averages[dC (115 m)])</f>
        <v>6.4239504409430275</v>
      </c>
      <c r="O92" s="93"/>
      <c r="P92" s="94">
        <f>AVERAGE(monthly_averages[CO2ff (10m)])</f>
        <v>2.0421645615752149</v>
      </c>
      <c r="Q92" s="95" t="s">
        <v>178</v>
      </c>
      <c r="R92" s="95" t="s">
        <v>177</v>
      </c>
      <c r="S92" s="96">
        <f>AVERAGE(monthly_averages[dC(10 m)])</f>
        <v>17.200167874459758</v>
      </c>
      <c r="T92" s="96">
        <f>AVERAGE(monthly_averages[Cmod (115 m) ])</f>
        <v>5.3600096318600396</v>
      </c>
      <c r="V92" s="97">
        <f>STDEV(monthly_averages[dC(10 m)])</f>
        <v>6.2334713963895387</v>
      </c>
    </row>
    <row r="93" spans="1:22">
      <c r="H93" s="89">
        <v>2015</v>
      </c>
      <c r="I93" s="89">
        <f>AVERAGE(I6:I17)</f>
        <v>1.9596431933356289</v>
      </c>
      <c r="J93" s="90">
        <f>MIN(I6:I17)</f>
        <v>-1.2289228420942799</v>
      </c>
      <c r="K93" s="90">
        <f>MAX(I6:I17)</f>
        <v>5.9841162439542721</v>
      </c>
      <c r="L93" s="89">
        <f>AVERAGE(L6:L17)</f>
        <v>6.319391196227973</v>
      </c>
      <c r="M93" s="91">
        <f>AVERAGE(M6:M17)</f>
        <v>4.3597480028923448</v>
      </c>
      <c r="N93" s="92">
        <f t="shared" ref="N93:N99" si="0">STDEV(L6:L17)</f>
        <v>7.1015487938990676</v>
      </c>
      <c r="O93" s="93"/>
      <c r="P93" s="94">
        <f>AVERAGE(P6:P17)</f>
        <v>2.3970698670111914</v>
      </c>
      <c r="Q93" s="95">
        <f>MIN(P6:P17)</f>
        <v>-0.21613885661910137</v>
      </c>
      <c r="R93" s="95">
        <f>MAX(P6:P17)</f>
        <v>5.4512089410582725</v>
      </c>
      <c r="S93" s="98">
        <f>AVERAGE(S6:S17)</f>
        <v>20.603243700681844</v>
      </c>
      <c r="T93" s="98">
        <f>AVERAGE(T6:T17)</f>
        <v>18.206173833670654</v>
      </c>
      <c r="V93" s="97">
        <f>STDEV(S6:S17)</f>
        <v>9.3297891452979496</v>
      </c>
    </row>
    <row r="94" spans="1:22">
      <c r="H94" s="89">
        <v>2016</v>
      </c>
      <c r="I94" s="89">
        <f>AVERAGE(I18:I29)</f>
        <v>1.057508857393419</v>
      </c>
      <c r="J94" s="90">
        <f>MIN(I18:I29)</f>
        <v>-1.6600939540379054</v>
      </c>
      <c r="K94" s="90">
        <f>MAX(I18:I29)</f>
        <v>7.4401578455420037</v>
      </c>
      <c r="L94" s="89">
        <f>AVERAGE(L18:L29)</f>
        <v>5.8121047269385242</v>
      </c>
      <c r="M94" s="91">
        <f>AVERAGE(M18:M29)</f>
        <v>4.7545958695451045</v>
      </c>
      <c r="N94" s="92">
        <f t="shared" si="0"/>
        <v>7.2492908282066066</v>
      </c>
      <c r="O94" s="93"/>
      <c r="P94" s="94">
        <f>AVERAGE(P18:P29)</f>
        <v>1.7539778016610186</v>
      </c>
      <c r="Q94" s="95">
        <f>MIN(P18:P29)</f>
        <v>-0.85528406484862984</v>
      </c>
      <c r="R94" s="95">
        <f>MAX(P18:P29)</f>
        <v>5.4186949282696757</v>
      </c>
      <c r="S94" s="96">
        <f>AVERAGE(S18:S29)</f>
        <v>15.528018714601393</v>
      </c>
      <c r="T94" s="96">
        <f>AVERAGE(T18:T29)</f>
        <v>13.774040912940373</v>
      </c>
      <c r="V94" s="97">
        <f>STDEV(S18:S29)</f>
        <v>6.4399210789041073</v>
      </c>
    </row>
    <row r="95" spans="1:22">
      <c r="H95" s="89">
        <v>2017</v>
      </c>
      <c r="I95" s="89">
        <f>AVERAGE(I30:I41)</f>
        <v>1.1125785274324218</v>
      </c>
      <c r="J95" s="90">
        <f>MIN(I30:I41)</f>
        <v>-3.5928408706588084</v>
      </c>
      <c r="K95" s="90">
        <f>MAX(I30:I41)</f>
        <v>5.1463906528971526</v>
      </c>
      <c r="L95" s="89">
        <f>AVERAGE(L30:L41)</f>
        <v>7.0159338762007808</v>
      </c>
      <c r="M95" s="91">
        <f>AVERAGE(M30:M41)</f>
        <v>4.4296657549158196</v>
      </c>
      <c r="N95" s="92">
        <f t="shared" si="0"/>
        <v>7.2090666031974653</v>
      </c>
      <c r="O95" s="93"/>
      <c r="P95" s="94">
        <f>AVERAGE(P30:P41)</f>
        <v>1.5220858410450591</v>
      </c>
      <c r="Q95" s="95">
        <f>MIN(P30:P41)</f>
        <v>-1.7069867939879348</v>
      </c>
      <c r="R95" s="95">
        <f>MAX(P30:P41)</f>
        <v>4.02653769533228</v>
      </c>
      <c r="S95" s="96">
        <f>AVERAGE(S30:S41)</f>
        <v>15.389854305682272</v>
      </c>
      <c r="T95" s="96">
        <f>AVERAGE(T30:T41)</f>
        <v>13.867768464637214</v>
      </c>
      <c r="V95" s="97">
        <f>STDEV(S30:S41)</f>
        <v>5.6574082989709638</v>
      </c>
    </row>
    <row r="96" spans="1:22">
      <c r="H96" s="89">
        <v>2018</v>
      </c>
      <c r="I96" s="99">
        <f>AVERAGE(I42:I53)</f>
        <v>1.6441452601550461</v>
      </c>
      <c r="J96" s="90">
        <f>MIN(I42:I53)</f>
        <v>-2.4796363137681063</v>
      </c>
      <c r="K96" s="90">
        <f>MAX(I42:I53)</f>
        <v>6.0084874084002768</v>
      </c>
      <c r="L96" s="99">
        <f>AVERAGE(L42:L53)</f>
        <v>7.0596826633207383</v>
      </c>
      <c r="M96" s="100">
        <f>AVERAGE(M42:M53)</f>
        <v>5.4155374031656924</v>
      </c>
      <c r="N96" s="92">
        <f t="shared" si="0"/>
        <v>7.2174848012115911</v>
      </c>
      <c r="O96" s="93"/>
      <c r="P96" s="94">
        <f>AVERAGE(P42:P53)</f>
        <v>2.0806391990672517</v>
      </c>
      <c r="Q96" s="95">
        <f>MIN(P42:P53)</f>
        <v>-2.6789724390403049</v>
      </c>
      <c r="R96" s="95">
        <f>MAX(P42:P53)</f>
        <v>5.2378160390484982</v>
      </c>
      <c r="S96" s="96">
        <f>AVERAGE(S42:S53)</f>
        <v>17.618203399392936</v>
      </c>
      <c r="T96" s="96">
        <f>AVERAGE(T42:T53)</f>
        <v>15.537564200325678</v>
      </c>
      <c r="V96" s="97">
        <f>STDEV(S42:S53)</f>
        <v>4.7892121309265203</v>
      </c>
    </row>
    <row r="97" spans="6:22">
      <c r="H97" s="89">
        <v>2019</v>
      </c>
      <c r="I97" s="89">
        <f>AVERAGE(I54:I65)</f>
        <v>2.0128794285797293</v>
      </c>
      <c r="J97" s="90">
        <f>MIN(I54:I65)</f>
        <v>-3.5302593375832312</v>
      </c>
      <c r="K97" s="90">
        <f>MAX(I54:I65)</f>
        <v>5.7982298866360882</v>
      </c>
      <c r="L97" s="89">
        <f>AVERAGE(L54:L65)</f>
        <v>6.1148921935483189</v>
      </c>
      <c r="M97" s="91">
        <f>AVERAGE(M54:M65)</f>
        <v>4.10201276496859</v>
      </c>
      <c r="N97" s="92">
        <f t="shared" si="0"/>
        <v>7.3051286186019322</v>
      </c>
      <c r="O97" s="93"/>
      <c r="P97" s="94">
        <f>AVERAGE(P54:P65)</f>
        <v>2.408650688124585</v>
      </c>
      <c r="Q97" s="95">
        <f>MIN(P54:P65)</f>
        <v>-1.4496572382594162</v>
      </c>
      <c r="R97" s="95">
        <f>MAX(P54:P65)</f>
        <v>7.6188668809007645</v>
      </c>
      <c r="S97" s="96">
        <f>AVERAGE(S54:S65)</f>
        <v>15.641043338637934</v>
      </c>
      <c r="T97" s="96">
        <f>AVERAGE(T54:T65)</f>
        <v>13.232392650513347</v>
      </c>
      <c r="V97" s="97">
        <f>STDEV(S54:S65)</f>
        <v>5.0970477117361179</v>
      </c>
    </row>
    <row r="98" spans="6:22">
      <c r="H98" s="89">
        <v>2020</v>
      </c>
      <c r="I98" s="89">
        <f>AVERAGE(I66:I77)</f>
        <v>1.4856989154906521</v>
      </c>
      <c r="J98" s="90">
        <f>MIN(I66:I77)</f>
        <v>-2.7399055114210689</v>
      </c>
      <c r="K98" s="90">
        <f>MAX(I66:I77)</f>
        <v>4.0980577424809637</v>
      </c>
      <c r="L98" s="89">
        <f>AVERAGE(L66:L77)</f>
        <v>6.8475336347834697</v>
      </c>
      <c r="M98" s="91">
        <f>AVERAGE(M66:M77)</f>
        <v>5.3618347192928164</v>
      </c>
      <c r="N98" s="92">
        <f t="shared" si="0"/>
        <v>7.2430602627780916</v>
      </c>
      <c r="O98" s="93"/>
      <c r="P98" s="94">
        <f>AVERAGE(P66:P77)</f>
        <v>2.5060048951930427</v>
      </c>
      <c r="Q98" s="95">
        <f>MIN(P66:P77)</f>
        <v>-0.10492295143649147</v>
      </c>
      <c r="R98" s="95">
        <f>MAX(P66:P77)</f>
        <v>4.2614877293949034</v>
      </c>
      <c r="S98" s="96">
        <f>AVERAGE(S66:S77)</f>
        <v>16.767232390063555</v>
      </c>
      <c r="T98" s="96">
        <f>AVERAGE(T66:T77)</f>
        <v>14.261227494870512</v>
      </c>
      <c r="V98" s="97">
        <f>STDEV(S66:S77)</f>
        <v>6.968543548469424</v>
      </c>
    </row>
    <row r="99" spans="6:22">
      <c r="H99" s="89">
        <v>2021</v>
      </c>
      <c r="I99" s="101">
        <f>AVERAGE(I78:I89)</f>
        <v>1.4769299979988453</v>
      </c>
      <c r="J99" s="102">
        <f>MIN(I78:I89)</f>
        <v>-2.5005770664114326</v>
      </c>
      <c r="K99" s="102">
        <f>MAX(I78:I89)</f>
        <v>6.1342708211789416</v>
      </c>
      <c r="L99" s="101">
        <f>AVERAGE(L78:L89)</f>
        <v>10.37818181818181</v>
      </c>
      <c r="M99" s="101">
        <f>AVERAGE(M78:M89)</f>
        <v>8.9012518201829653</v>
      </c>
      <c r="N99" s="92">
        <f t="shared" si="0"/>
        <v>7.1755129785125353</v>
      </c>
      <c r="O99" s="103"/>
      <c r="P99" s="104">
        <f>AVERAGE(P78:P89)</f>
        <v>1.7733878271734982</v>
      </c>
      <c r="Q99" s="105">
        <f>MIN(P78:P89)</f>
        <v>-2.2511165953673653</v>
      </c>
      <c r="R99" s="105">
        <f>MAX(P78:P89)</f>
        <v>6.7593895729713944</v>
      </c>
      <c r="S99" s="101">
        <f>AVERAGE(S78:S89)</f>
        <v>21.033636363636369</v>
      </c>
      <c r="T99" s="101">
        <f>AVERAGE(T78:T89)</f>
        <v>19.260248536462868</v>
      </c>
      <c r="V99" s="106">
        <f>STDEV(S12:S23)</f>
        <v>8.5771691263661616</v>
      </c>
    </row>
    <row r="101" spans="6:22">
      <c r="H101" s="107" t="s">
        <v>163</v>
      </c>
      <c r="I101" s="108"/>
      <c r="J101" s="102"/>
      <c r="K101" s="102"/>
      <c r="L101" s="107">
        <f>MAX(monthly_averages[dC (115 m)])</f>
        <v>22.089999999999975</v>
      </c>
      <c r="M101" s="107">
        <f>MAX(monthly_averages[Cmod (115 m) ])</f>
        <v>20.696986188361741</v>
      </c>
      <c r="N101" s="104"/>
      <c r="O101" s="104"/>
      <c r="P101" s="104"/>
      <c r="Q101" s="105"/>
      <c r="R101" s="105"/>
      <c r="S101" s="109">
        <f>MAX(monthly_averages[dC(10 m)])</f>
        <v>30.740000000000009</v>
      </c>
      <c r="T101" s="109">
        <f>MAX(monthly_averages[Cmod (10 m)])</f>
        <v>30.578667453989151</v>
      </c>
    </row>
    <row r="102" spans="6:22">
      <c r="H102" s="107" t="s">
        <v>164</v>
      </c>
      <c r="I102" s="108"/>
      <c r="J102" s="102"/>
      <c r="K102" s="102"/>
      <c r="L102" s="107">
        <f>MIN(monthly_averages[dC (115 m)])</f>
        <v>-3.4108270555437343</v>
      </c>
      <c r="M102" s="107">
        <f>MIN(monthly_averages[Cmod (115 m) ])</f>
        <v>-3.8438600585437155</v>
      </c>
      <c r="N102" s="104"/>
      <c r="O102" s="104"/>
      <c r="P102" s="104"/>
      <c r="Q102" s="105"/>
      <c r="R102" s="105"/>
      <c r="S102" s="109">
        <f>MIN(monthly_averages[dC(10 m)])</f>
        <v>5.1422664171285533</v>
      </c>
      <c r="T102" s="109">
        <f>MIN(monthly_averages[Cmod (10 m)])</f>
        <v>4.2361899387307709</v>
      </c>
    </row>
    <row r="103" spans="6:22">
      <c r="H103" s="108" t="s">
        <v>165</v>
      </c>
    </row>
    <row r="104" spans="6:22">
      <c r="H104" s="108" t="s">
        <v>166</v>
      </c>
    </row>
    <row r="105" spans="6:22">
      <c r="H105" s="40" t="s">
        <v>167</v>
      </c>
      <c r="I105" s="40">
        <f>MIN(monthly_averages[CO2ff (115m)])</f>
        <v>-3.5928408706588084</v>
      </c>
      <c r="P105" s="44">
        <f>MIN(monthly_averages[CO2ff (10m)])</f>
        <v>-2.6789724390403049</v>
      </c>
    </row>
    <row r="106" spans="6:22" ht="20" thickBot="1">
      <c r="G106" s="79"/>
      <c r="H106" s="79" t="s">
        <v>168</v>
      </c>
      <c r="I106" s="79">
        <f>MAX(monthly_averages[CO2ff (115m)])</f>
        <v>7.4401578455420037</v>
      </c>
      <c r="J106" s="62"/>
      <c r="K106" s="62"/>
      <c r="L106" s="79"/>
      <c r="M106" s="79"/>
      <c r="N106" s="64"/>
      <c r="O106" s="64"/>
      <c r="P106" s="64">
        <f>MAX(monthly_averages[CO2ff (10m)])</f>
        <v>7.6188668809007645</v>
      </c>
      <c r="Q106" s="65"/>
      <c r="R106" s="65"/>
    </row>
    <row r="107" spans="6:22">
      <c r="F107" s="110"/>
      <c r="G107" s="111" t="s">
        <v>169</v>
      </c>
      <c r="H107" s="112" t="s">
        <v>170</v>
      </c>
      <c r="I107" s="112" t="s">
        <v>171</v>
      </c>
      <c r="J107" s="112"/>
      <c r="K107" s="112"/>
      <c r="L107" s="112"/>
      <c r="M107" s="112"/>
      <c r="N107" s="112"/>
      <c r="O107" s="112"/>
      <c r="P107" s="112" t="s">
        <v>172</v>
      </c>
      <c r="Q107" s="112"/>
      <c r="R107" s="113"/>
      <c r="S107" s="114"/>
    </row>
    <row r="108" spans="6:22">
      <c r="F108" s="110"/>
      <c r="G108" s="115"/>
      <c r="H108" s="116">
        <v>2015</v>
      </c>
      <c r="I108" s="116">
        <f>AVERAGE($I$8:$I$11)</f>
        <v>0.29452558783848992</v>
      </c>
      <c r="J108" s="116">
        <f>MIN(I8:I11)</f>
        <v>-1.2289228420942799</v>
      </c>
      <c r="K108" s="116">
        <f>MAX(I8:I11)</f>
        <v>2.3831154287368475</v>
      </c>
      <c r="L108" s="116">
        <f>STDEV($I$8:$I$11)</f>
        <v>1.5152106561094438</v>
      </c>
      <c r="M108" s="14"/>
      <c r="N108" s="14"/>
      <c r="O108" s="116">
        <v>2015</v>
      </c>
      <c r="P108" s="116"/>
      <c r="Q108" s="116"/>
      <c r="R108" s="116"/>
      <c r="S108" s="114"/>
    </row>
    <row r="109" spans="6:22">
      <c r="F109" s="110"/>
      <c r="G109" s="115"/>
      <c r="H109" s="116">
        <v>2016</v>
      </c>
      <c r="I109" s="116">
        <f>AVERAGE($I$20:$I$23)</f>
        <v>4.8718435106118896E-2</v>
      </c>
      <c r="J109" s="116">
        <f>MIN(I32:I35)</f>
        <v>-0.51385420530521098</v>
      </c>
      <c r="K109" s="116">
        <f>MAX(I32:I35)</f>
        <v>2.5425075428030297</v>
      </c>
      <c r="L109" s="116">
        <f>STDEV($I$20:$I$23)</f>
        <v>1.2305522799449047</v>
      </c>
      <c r="M109" s="14"/>
      <c r="N109" s="14"/>
      <c r="O109" s="116">
        <v>2016</v>
      </c>
      <c r="P109" s="116">
        <f>AVERAGE(P20:P23)</f>
        <v>0.86235204652733533</v>
      </c>
      <c r="Q109" s="116">
        <f>MIN(P32:P35)</f>
        <v>0.95766952062477784</v>
      </c>
      <c r="R109" s="116">
        <f>MAX(P32:P35)</f>
        <v>4.0094790807868037</v>
      </c>
      <c r="S109" s="114"/>
    </row>
    <row r="110" spans="6:22">
      <c r="F110" s="110"/>
      <c r="G110" s="115"/>
      <c r="H110" s="116">
        <v>2017</v>
      </c>
      <c r="I110" s="116">
        <f>AVERAGE($I$32:$I$35)</f>
        <v>1.5209859898761398</v>
      </c>
      <c r="J110" s="116">
        <f>MIN(I44:I47)</f>
        <v>-2.4796363137681063</v>
      </c>
      <c r="K110" s="116">
        <f>MAX(I44:I47)</f>
        <v>4.5405486093008678</v>
      </c>
      <c r="L110" s="116">
        <f>STDEV($I$32:$I$35)</f>
        <v>1.3796256964670082</v>
      </c>
      <c r="M110" s="14"/>
      <c r="N110" s="14"/>
      <c r="O110" s="116">
        <v>2017</v>
      </c>
      <c r="P110" s="116">
        <f>AVERAGE(P32:P35)</f>
        <v>2.179379768560251</v>
      </c>
      <c r="Q110" s="116">
        <f>MIN(P44:P47)</f>
        <v>-2.6789724390403049</v>
      </c>
      <c r="R110" s="116">
        <f>MAX(P44:P47)</f>
        <v>3.8516073944071141</v>
      </c>
      <c r="S110" s="114"/>
    </row>
    <row r="111" spans="6:22">
      <c r="F111" s="110"/>
      <c r="G111" s="115"/>
      <c r="H111" s="116">
        <v>2018</v>
      </c>
      <c r="I111" s="116">
        <f>AVERAGE($I$44:$I$47)</f>
        <v>0.28852560013085554</v>
      </c>
      <c r="J111" s="116">
        <f>MIN(I56:I59)</f>
        <v>-0.76077190420586405</v>
      </c>
      <c r="K111" s="116">
        <f>MAX(I56:I59)</f>
        <v>5.7982298866360882</v>
      </c>
      <c r="L111" s="116">
        <f>STDEV($I$44:$I$47)</f>
        <v>3.0572593744326562</v>
      </c>
      <c r="M111" s="14"/>
      <c r="N111" s="14"/>
      <c r="O111" s="116">
        <v>2018</v>
      </c>
      <c r="P111" s="116">
        <f>AVERAGE(P44:P47)</f>
        <v>0.56607349303021282</v>
      </c>
      <c r="Q111" s="116">
        <f>MIN(P56:P59)</f>
        <v>-1.2657675653902125</v>
      </c>
      <c r="R111" s="116">
        <f>MAX(P56:P59)</f>
        <v>4.542119054834135</v>
      </c>
      <c r="S111" s="114"/>
    </row>
    <row r="112" spans="6:22">
      <c r="F112" s="110"/>
      <c r="G112" s="115"/>
      <c r="H112" s="116">
        <v>2019</v>
      </c>
      <c r="I112" s="116">
        <f>AVERAGE($I$56:$I$59)</f>
        <v>2.0330535035352999</v>
      </c>
      <c r="J112" s="116">
        <f>MIN(I56:I59)</f>
        <v>-0.76077190420586405</v>
      </c>
      <c r="K112" s="116">
        <f>MAX(I56:I59)</f>
        <v>5.7982298866360882</v>
      </c>
      <c r="L112" s="116">
        <f>STDEV($I$56:$I$59)</f>
        <v>3.0269333389924733</v>
      </c>
      <c r="M112" s="14"/>
      <c r="N112" s="14"/>
      <c r="O112" s="116">
        <v>2019</v>
      </c>
      <c r="P112" s="116">
        <f>AVERAGE(P56:P59)</f>
        <v>1.4547361902994715</v>
      </c>
      <c r="Q112" s="116">
        <f>MIN(P56:P59)</f>
        <v>-1.2657675653902125</v>
      </c>
      <c r="R112" s="116">
        <f>MAX(P56:P59)</f>
        <v>4.542119054834135</v>
      </c>
      <c r="S112" s="114"/>
    </row>
    <row r="113" spans="6:19">
      <c r="F113" s="110"/>
      <c r="G113" s="14"/>
      <c r="H113" s="116">
        <v>2020</v>
      </c>
      <c r="I113" s="116">
        <f>AVERAGE($I$68:$I$71)</f>
        <v>1.0319609817702</v>
      </c>
      <c r="J113" s="116">
        <f>MIN(I68:I71)</f>
        <v>-0.74034499990459268</v>
      </c>
      <c r="K113" s="116">
        <f>MAX(I68:I71)</f>
        <v>3.4597308220620882</v>
      </c>
      <c r="L113" s="116">
        <f>STDEV($I$68:$I$71)</f>
        <v>1.8409676984769912</v>
      </c>
      <c r="M113" s="14"/>
      <c r="N113" s="14"/>
      <c r="O113" s="116">
        <v>2020</v>
      </c>
      <c r="P113" s="116">
        <f>AVERAGE(P68:P71)</f>
        <v>1.6345909047541838</v>
      </c>
      <c r="Q113" s="116">
        <f>MIN(P68:P71)</f>
        <v>-0.10492295143649147</v>
      </c>
      <c r="R113" s="116">
        <f>MAX(P68:P71)</f>
        <v>3.3922116009672392</v>
      </c>
      <c r="S113" s="114"/>
    </row>
    <row r="114" spans="6:19">
      <c r="F114" s="110"/>
      <c r="G114" s="14"/>
      <c r="H114" s="116">
        <v>2021</v>
      </c>
      <c r="I114" s="116">
        <f>AVERAGE($I$80:$I83)</f>
        <v>0.22192471961886562</v>
      </c>
      <c r="J114" s="116">
        <f>MIN(I80:I83)</f>
        <v>-2.5005770664114326</v>
      </c>
      <c r="K114" s="116">
        <f>MAX(I80:I83)</f>
        <v>2.0036243711182236</v>
      </c>
      <c r="L114" s="116">
        <f>STDEV($I$80:$I83)</f>
        <v>2.3949507593507087</v>
      </c>
      <c r="M114" s="14"/>
      <c r="N114" s="14"/>
      <c r="O114" s="116">
        <v>2021</v>
      </c>
      <c r="P114" s="116">
        <f>AVERAGE(P80:P83)</f>
        <v>-0.14738692734246847</v>
      </c>
      <c r="Q114" s="116">
        <f>MIN(P80:P83)</f>
        <v>-2.2511165953673653</v>
      </c>
      <c r="R114" s="116">
        <f>MAX(P80:P83)</f>
        <v>1.108092224449694</v>
      </c>
      <c r="S114" s="114"/>
    </row>
    <row r="115" spans="6:19">
      <c r="F115" s="110"/>
      <c r="G115" s="115"/>
      <c r="H115" s="14" t="s">
        <v>182</v>
      </c>
      <c r="I115" s="14">
        <f>AVERAGE(I108:I112)</f>
        <v>0.83716182329738087</v>
      </c>
      <c r="J115" s="14"/>
      <c r="K115" s="14"/>
      <c r="L115" s="14"/>
      <c r="M115" s="14"/>
      <c r="N115" s="14"/>
      <c r="O115" s="14" t="s">
        <v>182</v>
      </c>
      <c r="P115" s="14">
        <f>AVERAGE(P109:P112)</f>
        <v>1.2656353746043176</v>
      </c>
      <c r="Q115" s="14"/>
      <c r="R115" s="117"/>
      <c r="S115" s="114"/>
    </row>
    <row r="116" spans="6:19" ht="20" thickBot="1">
      <c r="F116" s="110"/>
      <c r="G116" s="118"/>
      <c r="H116" s="119" t="s">
        <v>183</v>
      </c>
      <c r="I116" s="119">
        <f>STDEV(I108:I113)</f>
        <v>0.79328348370093393</v>
      </c>
      <c r="J116" s="119"/>
      <c r="K116" s="119"/>
      <c r="L116" s="119"/>
      <c r="M116" s="119"/>
      <c r="N116" s="119"/>
      <c r="O116" s="119" t="s">
        <v>183</v>
      </c>
      <c r="P116" s="119">
        <f>STDEV(P109:P113)</f>
        <v>0.63867338120148565</v>
      </c>
      <c r="Q116" s="119"/>
      <c r="R116" s="120"/>
      <c r="S116" s="114"/>
    </row>
    <row r="117" spans="6:19">
      <c r="G117" s="121"/>
      <c r="H117" s="121"/>
      <c r="I117" s="121"/>
      <c r="J117" s="122"/>
      <c r="K117" s="122"/>
      <c r="L117" s="121"/>
      <c r="M117" s="121"/>
      <c r="N117" s="123"/>
      <c r="O117" s="123"/>
      <c r="P117" s="123"/>
      <c r="Q117" s="124"/>
      <c r="R117" s="124"/>
    </row>
    <row r="118" spans="6:19" ht="20" thickBot="1">
      <c r="G118" s="121"/>
      <c r="H118" s="121"/>
      <c r="I118" s="121"/>
      <c r="J118" s="122"/>
      <c r="K118" s="122"/>
      <c r="L118" s="121"/>
      <c r="M118" s="121"/>
      <c r="N118" s="123"/>
      <c r="O118" s="123"/>
      <c r="P118" s="123"/>
      <c r="Q118" s="124"/>
      <c r="R118" s="124"/>
    </row>
    <row r="119" spans="6:19">
      <c r="F119" s="110"/>
      <c r="G119" s="111" t="s">
        <v>173</v>
      </c>
      <c r="H119" s="112" t="s">
        <v>174</v>
      </c>
      <c r="I119" s="112" t="s">
        <v>171</v>
      </c>
      <c r="J119" s="112"/>
      <c r="K119" s="112"/>
      <c r="L119" s="112"/>
      <c r="M119" s="112"/>
      <c r="N119" s="112"/>
      <c r="O119" s="112"/>
      <c r="P119" s="112" t="s">
        <v>172</v>
      </c>
      <c r="Q119" s="112"/>
      <c r="R119" s="113"/>
      <c r="S119" s="114"/>
    </row>
    <row r="120" spans="6:19">
      <c r="F120" s="110"/>
      <c r="G120" s="115"/>
      <c r="H120" s="116" t="s">
        <v>175</v>
      </c>
      <c r="I120" s="14">
        <f>AVERAGE($I$4:$I$7)</f>
        <v>3.1760773110271203</v>
      </c>
      <c r="J120" s="14">
        <f>MIN(I4:I7)</f>
        <v>-0.2006839162590765</v>
      </c>
      <c r="K120" s="14">
        <f>MIN(I4:I7)</f>
        <v>-0.2006839162590765</v>
      </c>
      <c r="L120" s="14">
        <f>STDEV($I$4:$I$7)</f>
        <v>2.5554903205735742</v>
      </c>
      <c r="M120" s="14"/>
      <c r="N120" s="14"/>
      <c r="O120" s="116" t="s">
        <v>175</v>
      </c>
      <c r="P120" s="14">
        <f>AVERAGE(P4:P7)</f>
        <v>2.5747106256868051</v>
      </c>
      <c r="Q120" s="14">
        <f>MIN(P4:P7)</f>
        <v>2.0925178899074779</v>
      </c>
      <c r="R120" s="117">
        <f>MIN(P4:P7)</f>
        <v>2.0925178899074779</v>
      </c>
      <c r="S120" s="114"/>
    </row>
    <row r="121" spans="6:19">
      <c r="F121" s="110"/>
      <c r="G121" s="115"/>
      <c r="H121" s="116">
        <v>2015</v>
      </c>
      <c r="I121" s="14">
        <f>AVERAGE($I$16:$I$19)</f>
        <v>3.0116247679405914</v>
      </c>
      <c r="J121" s="14">
        <f>MIN(I16:I19)</f>
        <v>1.0836577549804121</v>
      </c>
      <c r="K121" s="14">
        <f>MIN(I16:I19)</f>
        <v>1.0836577549804121</v>
      </c>
      <c r="L121" s="14">
        <f>STDEV($I$16:$I$19)</f>
        <v>1.5277660604074481</v>
      </c>
      <c r="M121" s="14"/>
      <c r="N121" s="14"/>
      <c r="O121" s="116">
        <v>2015</v>
      </c>
      <c r="P121" s="14">
        <f>AVERAGE(P16:P19)</f>
        <v>4.2037601103621736</v>
      </c>
      <c r="Q121" s="14">
        <f>MIN(P16:P19)</f>
        <v>3.2756596144698986</v>
      </c>
      <c r="R121" s="117">
        <f>MIN(P16:P19)</f>
        <v>3.2756596144698986</v>
      </c>
      <c r="S121" s="114"/>
    </row>
    <row r="122" spans="6:19">
      <c r="F122" s="110"/>
      <c r="G122" s="115"/>
      <c r="H122" s="116">
        <v>2016</v>
      </c>
      <c r="I122" s="14">
        <f>AVERAGE($I$28:$I$31)</f>
        <v>4.7286806583729719</v>
      </c>
      <c r="J122" s="14">
        <f>MIN(I28:I31)</f>
        <v>1.8954125080063533</v>
      </c>
      <c r="K122" s="14">
        <f>MIN(I28:I31)</f>
        <v>1.8954125080063533</v>
      </c>
      <c r="L122" s="14">
        <f>STDEV($I$28:$I$31)</f>
        <v>2.2833868602762459</v>
      </c>
      <c r="M122" s="14"/>
      <c r="N122" s="14"/>
      <c r="O122" s="116">
        <v>2016</v>
      </c>
      <c r="P122" s="14">
        <f>AVERAGE(P28:P31)</f>
        <v>4.1569455532677022</v>
      </c>
      <c r="Q122" s="14">
        <f>MIN(P28:P31)</f>
        <v>2.8836278702437945</v>
      </c>
      <c r="R122" s="117">
        <f>MIN(P28:P31)</f>
        <v>2.8836278702437945</v>
      </c>
      <c r="S122" s="114"/>
    </row>
    <row r="123" spans="6:19">
      <c r="F123" s="110"/>
      <c r="G123" s="115"/>
      <c r="H123" s="116">
        <v>2017</v>
      </c>
      <c r="I123" s="14">
        <f>AVERAGE($I$40:$I$43)</f>
        <v>3.4735127155308247</v>
      </c>
      <c r="J123" s="14">
        <f>MIN(I40:I43)</f>
        <v>1.9940932176207904</v>
      </c>
      <c r="K123" s="14">
        <f>MIN(I40:I43)</f>
        <v>1.9940932176207904</v>
      </c>
      <c r="L123" s="14">
        <f>STDEV($I$40:$I$43)</f>
        <v>2.2055583775872685</v>
      </c>
      <c r="M123" s="14"/>
      <c r="N123" s="14"/>
      <c r="O123" s="116">
        <v>2017</v>
      </c>
      <c r="P123" s="14">
        <f>AVERAGE(P40:P43)</f>
        <v>3.7199948782687984</v>
      </c>
      <c r="Q123" s="14">
        <f>MIN(P40:P43)</f>
        <v>2.8534121408001543</v>
      </c>
      <c r="R123" s="117">
        <f>MIN(P40:P43)</f>
        <v>2.8534121408001543</v>
      </c>
      <c r="S123" s="114"/>
    </row>
    <row r="124" spans="6:19">
      <c r="F124" s="110"/>
      <c r="G124" s="115"/>
      <c r="H124" s="116">
        <v>2018</v>
      </c>
      <c r="I124" s="14">
        <f>AVERAGE($I$52:$I$55)</f>
        <v>4.2208136718797462</v>
      </c>
      <c r="J124" s="14">
        <f>MIN(I52:I55)</f>
        <v>3.2890645863544048</v>
      </c>
      <c r="K124" s="14">
        <f>MIN(I52:I55)</f>
        <v>3.2890645863544048</v>
      </c>
      <c r="L124" s="14">
        <f>STDEV($I$52:$I$55)</f>
        <v>0.96016730308079012</v>
      </c>
      <c r="M124" s="14"/>
      <c r="N124" s="14"/>
      <c r="O124" s="116">
        <v>2018</v>
      </c>
      <c r="P124" s="14">
        <f>AVERAGE(P52:P55)</f>
        <v>5.7717084244307166</v>
      </c>
      <c r="Q124" s="14">
        <f>MIN(P52:P55)</f>
        <v>5.1132767600660607</v>
      </c>
      <c r="R124" s="117">
        <f>MIN(P52:P55)</f>
        <v>5.1132767600660607</v>
      </c>
      <c r="S124" s="114"/>
    </row>
    <row r="125" spans="6:19">
      <c r="F125" s="110"/>
      <c r="G125" s="115"/>
      <c r="H125" s="116">
        <v>2019</v>
      </c>
      <c r="I125" s="14">
        <f>AVERAGE($I$64:$I$67)</f>
        <v>3.1027611201431098</v>
      </c>
      <c r="J125" s="14">
        <f>MIN(I64:I67)</f>
        <v>1.9914806929236601</v>
      </c>
      <c r="K125" s="14">
        <f>MIN(I64:I67)</f>
        <v>1.9914806929236601</v>
      </c>
      <c r="L125" s="14">
        <f>STDEV($I$64:$I$67)</f>
        <v>0.86516001727610115</v>
      </c>
      <c r="M125" s="14"/>
      <c r="N125" s="14"/>
      <c r="O125" s="116">
        <v>2019</v>
      </c>
      <c r="P125" s="14">
        <f>AVERAGE(P64:P67)</f>
        <v>3.6341198530875953</v>
      </c>
      <c r="Q125" s="14">
        <f>MIN(P64:P67)</f>
        <v>2.7850072378405564</v>
      </c>
      <c r="R125" s="117">
        <f>MIN(P64:P67)</f>
        <v>2.7850072378405564</v>
      </c>
      <c r="S125" s="114"/>
    </row>
    <row r="126" spans="6:19">
      <c r="F126" s="110"/>
      <c r="G126" s="115"/>
      <c r="H126" s="116">
        <v>2020</v>
      </c>
      <c r="I126" s="14">
        <f>AVERAGE($I$76:$I$79)</f>
        <v>3.1350041867641281</v>
      </c>
      <c r="J126" s="14">
        <f>MIN(I76:I79)</f>
        <v>1.5159602759992672</v>
      </c>
      <c r="K126" s="14">
        <f>MIN(I76:I79)</f>
        <v>1.5159602759992672</v>
      </c>
      <c r="L126" s="14">
        <f>STDEV($I$76:$I$79)</f>
        <v>2.0475816401226017</v>
      </c>
      <c r="M126" s="14"/>
      <c r="N126" s="14"/>
      <c r="O126" s="116">
        <v>2020</v>
      </c>
      <c r="P126" s="14">
        <f>AVERAGE(P76:P79)</f>
        <v>3.9216775111867852</v>
      </c>
      <c r="Q126" s="14">
        <f>MIN(P76:P79)</f>
        <v>1.6719170039793598</v>
      </c>
      <c r="R126" s="117">
        <f>MIN(P76:P79)</f>
        <v>1.6719170039793598</v>
      </c>
      <c r="S126" s="114"/>
    </row>
    <row r="127" spans="6:19" ht="20" thickBot="1">
      <c r="F127" s="110"/>
      <c r="G127" s="115"/>
      <c r="H127" s="119" t="s">
        <v>183</v>
      </c>
      <c r="I127" s="14">
        <f>STDEV(I120:I126)</f>
        <v>0.66420870935417953</v>
      </c>
      <c r="J127" s="14"/>
      <c r="K127" s="14"/>
      <c r="L127" s="14"/>
      <c r="M127" s="14"/>
      <c r="N127" s="14"/>
      <c r="O127" s="119" t="s">
        <v>183</v>
      </c>
      <c r="P127" s="14">
        <f>STDEV(P120:P126)</f>
        <v>0.95349484383274197</v>
      </c>
      <c r="Q127" s="14"/>
      <c r="R127" s="117"/>
      <c r="S127" s="114"/>
    </row>
    <row r="128" spans="6:19" ht="20" thickBot="1">
      <c r="F128" s="110"/>
      <c r="G128" s="118"/>
      <c r="H128" s="119" t="s">
        <v>181</v>
      </c>
      <c r="I128" s="119">
        <f>AVERAGE(I120:I126)</f>
        <v>3.5497820616654989</v>
      </c>
      <c r="J128" s="119"/>
      <c r="K128" s="119"/>
      <c r="L128" s="119"/>
      <c r="M128" s="119"/>
      <c r="N128" s="119"/>
      <c r="O128" s="119" t="s">
        <v>180</v>
      </c>
      <c r="P128" s="119">
        <f>AVERAGE(P120:P126)</f>
        <v>3.9975595651843685</v>
      </c>
      <c r="Q128" s="119"/>
      <c r="R128" s="120"/>
      <c r="S128" s="114"/>
    </row>
    <row r="129" spans="7:18">
      <c r="G129" s="80"/>
      <c r="H129" s="80"/>
      <c r="I129" s="80"/>
      <c r="J129" s="81"/>
      <c r="K129" s="81"/>
      <c r="L129" s="80"/>
      <c r="M129" s="80"/>
      <c r="N129" s="85"/>
      <c r="O129" s="85"/>
      <c r="P129" s="85"/>
      <c r="Q129" s="86"/>
      <c r="R129" s="86"/>
    </row>
    <row r="130" spans="7:18">
      <c r="G130" s="79"/>
      <c r="H130" s="79"/>
      <c r="I130" s="79"/>
      <c r="J130" s="62"/>
      <c r="K130" s="62"/>
      <c r="L130" s="79"/>
      <c r="M130" s="79"/>
      <c r="N130" s="64"/>
      <c r="O130" s="64"/>
      <c r="P130" s="64"/>
      <c r="Q130" s="65"/>
      <c r="R130" s="65"/>
    </row>
    <row r="131" spans="7:18">
      <c r="G131" s="80"/>
      <c r="H131" s="80"/>
      <c r="I131" s="80"/>
      <c r="J131" s="81"/>
      <c r="K131" s="81"/>
      <c r="L131" s="80"/>
      <c r="M131" s="80"/>
      <c r="N131" s="85"/>
      <c r="O131" s="85"/>
      <c r="P131" s="85"/>
      <c r="Q131" s="86"/>
      <c r="R131" s="8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EFC71-A644-C947-BB39-A68686BC0016}">
  <dimension ref="A1:BC130"/>
  <sheetViews>
    <sheetView tabSelected="1" topLeftCell="N4" zoomScale="86" zoomScaleNormal="100" workbookViewId="0">
      <selection activeCell="AE14" sqref="AE14"/>
    </sheetView>
  </sheetViews>
  <sheetFormatPr baseColWidth="10" defaultColWidth="8.83203125" defaultRowHeight="16"/>
  <cols>
    <col min="1" max="1" width="16" customWidth="1"/>
    <col min="2" max="2" width="13.1640625" bestFit="1" customWidth="1"/>
    <col min="6" max="6" width="13.1640625" bestFit="1" customWidth="1"/>
    <col min="7" max="7" width="13.6640625" bestFit="1" customWidth="1"/>
    <col min="8" max="8" width="13.1640625" bestFit="1" customWidth="1"/>
    <col min="9" max="9" width="19.5" bestFit="1" customWidth="1"/>
    <col min="10" max="10" width="13.33203125" bestFit="1" customWidth="1"/>
    <col min="19" max="19" width="19.5" bestFit="1" customWidth="1"/>
    <col min="28" max="28" width="12" bestFit="1" customWidth="1"/>
    <col min="30" max="30" width="12.83203125" bestFit="1" customWidth="1"/>
    <col min="32" max="32" width="17.83203125" bestFit="1" customWidth="1"/>
    <col min="41" max="41" width="25" bestFit="1" customWidth="1"/>
    <col min="43" max="43" width="11.83203125" bestFit="1" customWidth="1"/>
    <col min="53" max="53" width="12.1640625" bestFit="1" customWidth="1"/>
  </cols>
  <sheetData>
    <row r="1" spans="1:55" ht="17">
      <c r="A1" s="140" t="s">
        <v>12</v>
      </c>
      <c r="B1" s="140"/>
      <c r="C1" s="140"/>
      <c r="D1" s="140"/>
      <c r="E1" s="140"/>
      <c r="F1" s="140"/>
      <c r="G1" s="140"/>
      <c r="H1" s="140"/>
      <c r="I1" s="140"/>
      <c r="K1" s="140" t="s">
        <v>27</v>
      </c>
      <c r="L1" s="140"/>
      <c r="M1" s="140"/>
      <c r="N1" s="140"/>
      <c r="O1" s="140"/>
      <c r="P1" s="140"/>
      <c r="Q1" s="140"/>
      <c r="R1" s="140"/>
      <c r="S1" s="140"/>
      <c r="U1" s="133"/>
      <c r="V1" s="133"/>
      <c r="W1" s="133"/>
      <c r="X1" s="133"/>
      <c r="Y1" s="133"/>
      <c r="Z1" s="133"/>
      <c r="AA1" s="133"/>
      <c r="AB1" s="133"/>
      <c r="AD1" s="143" t="s">
        <v>184</v>
      </c>
      <c r="AE1" s="143"/>
      <c r="AF1" s="143"/>
      <c r="AG1" s="143"/>
      <c r="AH1" s="143"/>
      <c r="AI1" s="143"/>
      <c r="AJ1" s="143"/>
      <c r="AK1" s="143"/>
      <c r="AM1" s="1"/>
      <c r="AN1" s="1" t="s">
        <v>0</v>
      </c>
      <c r="AO1" s="1" t="s">
        <v>1</v>
      </c>
      <c r="AP1" s="1" t="s">
        <v>2</v>
      </c>
      <c r="AQ1" s="1" t="s">
        <v>3</v>
      </c>
      <c r="AR1" t="s">
        <v>4</v>
      </c>
      <c r="AS1" t="s">
        <v>5</v>
      </c>
      <c r="AT1" t="s">
        <v>6</v>
      </c>
      <c r="AU1" t="s">
        <v>7</v>
      </c>
      <c r="AW1" s="140" t="s">
        <v>185</v>
      </c>
      <c r="AX1" s="140" t="s">
        <v>186</v>
      </c>
      <c r="BA1" s="140" t="s">
        <v>187</v>
      </c>
      <c r="BB1" s="140" t="s">
        <v>188</v>
      </c>
      <c r="BC1" s="140" t="s">
        <v>189</v>
      </c>
    </row>
    <row r="2" spans="1:55">
      <c r="A2" s="140" t="s">
        <v>190</v>
      </c>
      <c r="B2" s="140" t="s">
        <v>191</v>
      </c>
      <c r="C2" s="140" t="s">
        <v>138</v>
      </c>
      <c r="D2" s="140" t="s">
        <v>192</v>
      </c>
      <c r="E2" s="140" t="s">
        <v>193</v>
      </c>
      <c r="F2" s="140" t="s">
        <v>194</v>
      </c>
      <c r="G2" s="140" t="s">
        <v>195</v>
      </c>
      <c r="H2" s="140" t="s">
        <v>196</v>
      </c>
      <c r="I2" s="140" t="s">
        <v>197</v>
      </c>
      <c r="K2" s="140" t="s">
        <v>190</v>
      </c>
      <c r="L2" s="140" t="s">
        <v>191</v>
      </c>
      <c r="M2" s="140" t="s">
        <v>138</v>
      </c>
      <c r="N2" s="140" t="s">
        <v>192</v>
      </c>
      <c r="O2" s="140" t="s">
        <v>193</v>
      </c>
      <c r="P2" s="140" t="s">
        <v>194</v>
      </c>
      <c r="Q2" s="140" t="s">
        <v>195</v>
      </c>
      <c r="R2" s="140" t="s">
        <v>196</v>
      </c>
      <c r="S2" s="140" t="s">
        <v>197</v>
      </c>
      <c r="U2" s="133"/>
      <c r="V2" s="133"/>
      <c r="W2" s="133"/>
      <c r="X2" s="133"/>
      <c r="Y2" s="133"/>
      <c r="Z2" s="133"/>
      <c r="AA2" s="133"/>
      <c r="AB2" s="133"/>
      <c r="AD2" s="143" t="s">
        <v>190</v>
      </c>
      <c r="AE2" s="143" t="s">
        <v>191</v>
      </c>
      <c r="AF2" s="143" t="s">
        <v>198</v>
      </c>
      <c r="AG2" s="143" t="s">
        <v>192</v>
      </c>
      <c r="AH2" s="143" t="s">
        <v>193</v>
      </c>
      <c r="AI2" s="143" t="s">
        <v>194</v>
      </c>
      <c r="AJ2" s="143" t="s">
        <v>195</v>
      </c>
      <c r="AK2" s="143" t="s">
        <v>196</v>
      </c>
      <c r="AM2" s="1" t="s">
        <v>199</v>
      </c>
      <c r="AN2" s="1" t="s">
        <v>200</v>
      </c>
      <c r="AO2" s="1" t="s">
        <v>201</v>
      </c>
      <c r="AP2" s="3">
        <v>2020.5</v>
      </c>
      <c r="AQ2" s="9">
        <v>2020</v>
      </c>
      <c r="AR2" s="3">
        <v>99.587755379271343</v>
      </c>
      <c r="AS2" s="3">
        <v>0.42674631998195323</v>
      </c>
      <c r="AT2" s="3">
        <v>-3.8089859507970392</v>
      </c>
      <c r="AU2" s="3">
        <v>4.281975782312446</v>
      </c>
      <c r="AW2" s="142">
        <f t="shared" ref="AW2:AW8" si="0">AVERAGE(AT2,AT10)</f>
        <v>-5.4333814226196209</v>
      </c>
      <c r="AX2" s="140">
        <f t="shared" ref="AX2:AX8" si="1">STDEVA(AT2,AT10)</f>
        <v>2.2972421069089357</v>
      </c>
      <c r="BA2" s="140">
        <v>2015.7287671199999</v>
      </c>
      <c r="BB2" s="140">
        <v>13.77</v>
      </c>
      <c r="BC2" s="140">
        <v>1.27</v>
      </c>
    </row>
    <row r="3" spans="1:55">
      <c r="A3" s="140" t="s">
        <v>10</v>
      </c>
      <c r="B3" s="140" t="s">
        <v>11</v>
      </c>
      <c r="C3" s="140">
        <v>2020</v>
      </c>
      <c r="D3" s="140">
        <f>0.5+C3</f>
        <v>2020.5</v>
      </c>
      <c r="E3" s="140"/>
      <c r="F3" s="140"/>
      <c r="G3" s="140"/>
      <c r="H3" s="140"/>
      <c r="I3" s="140"/>
      <c r="K3" s="140" t="s">
        <v>25</v>
      </c>
      <c r="L3" s="140" t="s">
        <v>26</v>
      </c>
      <c r="M3" s="140">
        <v>2020</v>
      </c>
      <c r="N3" s="140">
        <f>0.5+M3</f>
        <v>2020.5</v>
      </c>
      <c r="O3" s="140">
        <v>98.33900073863002</v>
      </c>
      <c r="P3" s="140">
        <v>0.26291960427039995</v>
      </c>
      <c r="Q3" s="140">
        <v>-24.960569523143516</v>
      </c>
      <c r="R3" s="140">
        <v>2.6291960427039998</v>
      </c>
      <c r="S3" s="140">
        <f>$AJ3-Q3</f>
        <v>22.028895979447238</v>
      </c>
      <c r="U3" s="134"/>
      <c r="V3" s="134"/>
      <c r="W3" s="134"/>
      <c r="X3" s="135"/>
      <c r="Y3" s="136"/>
      <c r="Z3" s="137"/>
      <c r="AA3" s="133"/>
      <c r="AB3" s="133"/>
      <c r="AD3" s="144" t="s">
        <v>46</v>
      </c>
      <c r="AE3" s="144" t="s">
        <v>47</v>
      </c>
      <c r="AF3" s="144" t="s">
        <v>48</v>
      </c>
      <c r="AG3" s="145">
        <v>2020.5</v>
      </c>
      <c r="AH3" s="144">
        <v>100.56075664950082</v>
      </c>
      <c r="AI3" s="144">
        <v>0.19279655044600547</v>
      </c>
      <c r="AJ3" s="144">
        <v>-2.9316735436962782</v>
      </c>
      <c r="AK3" s="144">
        <v>1.9279655044600545</v>
      </c>
      <c r="AM3" s="129" t="s">
        <v>202</v>
      </c>
      <c r="AN3" s="1" t="s">
        <v>200</v>
      </c>
      <c r="AO3" s="1" t="s">
        <v>201</v>
      </c>
      <c r="AP3" s="5">
        <v>2019.5</v>
      </c>
      <c r="AQ3" s="10">
        <v>2019</v>
      </c>
      <c r="AR3" s="3">
        <v>100.70060965946881</v>
      </c>
      <c r="AS3" s="3">
        <v>0.43217062757727098</v>
      </c>
      <c r="AT3" s="3">
        <v>-5.8947614924114156</v>
      </c>
      <c r="AU3" s="3">
        <v>4.2609976398399025</v>
      </c>
      <c r="AW3" s="142">
        <f t="shared" si="0"/>
        <v>-5.9629519314214896</v>
      </c>
      <c r="AX3" s="140">
        <f t="shared" si="1"/>
        <v>9.6435843672222077E-2</v>
      </c>
      <c r="BA3" s="140">
        <v>2015.76712329</v>
      </c>
      <c r="BB3" s="140">
        <v>3.75</v>
      </c>
      <c r="BC3" s="140">
        <v>1.49</v>
      </c>
    </row>
    <row r="4" spans="1:55">
      <c r="A4" s="140" t="s">
        <v>13</v>
      </c>
      <c r="B4" s="140" t="s">
        <v>14</v>
      </c>
      <c r="C4" s="140">
        <v>2019</v>
      </c>
      <c r="D4" s="140">
        <f t="shared" ref="D4:D9" si="2">0.5+C4</f>
        <v>2019.5</v>
      </c>
      <c r="E4" s="140">
        <v>99.617582288324414</v>
      </c>
      <c r="F4" s="140">
        <v>0.1767536487958476</v>
      </c>
      <c r="G4" s="140">
        <v>-12.163842082813293</v>
      </c>
      <c r="H4" s="140">
        <v>1.7675364879584761</v>
      </c>
      <c r="I4" s="140">
        <f t="shared" ref="I4:I9" si="3">$AJ4-G4</f>
        <v>9.8540330730516601</v>
      </c>
      <c r="K4" s="140" t="s">
        <v>28</v>
      </c>
      <c r="L4" s="140" t="s">
        <v>29</v>
      </c>
      <c r="M4" s="140">
        <v>2019</v>
      </c>
      <c r="N4" s="140">
        <f t="shared" ref="N4:N12" si="4">0.5+M4</f>
        <v>2019.5</v>
      </c>
      <c r="O4" s="140">
        <v>99.344741719512299</v>
      </c>
      <c r="P4" s="140">
        <v>0.17319278531006185</v>
      </c>
      <c r="Q4" s="140">
        <v>-14.869406432279408</v>
      </c>
      <c r="R4" s="140">
        <v>1.7319278531006186</v>
      </c>
      <c r="S4" s="140">
        <f>$AJ4-Q4</f>
        <v>12.559597422517776</v>
      </c>
      <c r="U4" s="134"/>
      <c r="V4" s="134"/>
      <c r="W4" s="134"/>
      <c r="X4" s="138"/>
      <c r="Y4" s="136"/>
      <c r="Z4" s="137"/>
      <c r="AA4" s="133"/>
      <c r="AB4" s="133"/>
      <c r="AD4" s="144" t="s">
        <v>49</v>
      </c>
      <c r="AE4" s="144" t="s">
        <v>47</v>
      </c>
      <c r="AF4" s="144" t="s">
        <v>48</v>
      </c>
      <c r="AG4" s="146">
        <v>2019.5</v>
      </c>
      <c r="AH4" s="144">
        <v>100.61130472160356</v>
      </c>
      <c r="AI4" s="144">
        <v>0.19462013289273811</v>
      </c>
      <c r="AJ4" s="144">
        <v>-2.3098090097616319</v>
      </c>
      <c r="AK4" s="144">
        <v>1.9462013289273812</v>
      </c>
      <c r="AM4" s="1" t="s">
        <v>203</v>
      </c>
      <c r="AN4" s="1" t="s">
        <v>200</v>
      </c>
      <c r="AO4" s="1" t="s">
        <v>201</v>
      </c>
      <c r="AP4" s="5">
        <v>2018.5</v>
      </c>
      <c r="AQ4" s="9">
        <v>2018</v>
      </c>
      <c r="AR4" s="3">
        <v>100.62175962331172</v>
      </c>
      <c r="AS4" s="3">
        <v>0.42704778485955835</v>
      </c>
      <c r="AT4" s="3">
        <v>1.7966666162001488</v>
      </c>
      <c r="AU4" s="3">
        <v>4.312036967939072</v>
      </c>
      <c r="AW4" s="142">
        <f t="shared" si="0"/>
        <v>1.7768765775445505</v>
      </c>
      <c r="AX4" s="140">
        <f t="shared" si="1"/>
        <v>2.798734106663486E-2</v>
      </c>
      <c r="BA4" s="140">
        <v>2015.8054794499999</v>
      </c>
      <c r="BB4" s="140">
        <v>12.26</v>
      </c>
      <c r="BC4" s="140">
        <v>1.52</v>
      </c>
    </row>
    <row r="5" spans="1:55">
      <c r="A5" s="140" t="s">
        <v>15</v>
      </c>
      <c r="B5" s="140" t="s">
        <v>16</v>
      </c>
      <c r="C5" s="140">
        <v>2018</v>
      </c>
      <c r="D5" s="140">
        <f t="shared" si="2"/>
        <v>2018.5</v>
      </c>
      <c r="E5" s="140">
        <v>100.7505618726084</v>
      </c>
      <c r="F5" s="140">
        <v>0.16694687763492086</v>
      </c>
      <c r="G5" s="140">
        <v>-0.8080378504007335</v>
      </c>
      <c r="H5" s="140">
        <v>1.6694687763492086</v>
      </c>
      <c r="I5" s="140">
        <f t="shared" si="3"/>
        <v>6.6285907358079044</v>
      </c>
      <c r="K5" s="140" t="s">
        <v>30</v>
      </c>
      <c r="L5" s="140" t="s">
        <v>31</v>
      </c>
      <c r="M5" s="140">
        <v>2018</v>
      </c>
      <c r="N5" s="140">
        <f t="shared" si="4"/>
        <v>2018.5</v>
      </c>
      <c r="O5" s="140">
        <v>100.29876244919294</v>
      </c>
      <c r="P5" s="140">
        <v>0.18554556641016878</v>
      </c>
      <c r="Q5" s="140">
        <v>-5.2887508508042691</v>
      </c>
      <c r="R5" s="140">
        <v>1.8554556641016879</v>
      </c>
      <c r="S5" s="140">
        <f>$AJ5-Q5</f>
        <v>11.109303736211441</v>
      </c>
      <c r="U5" s="134"/>
      <c r="V5" s="134"/>
      <c r="W5" s="134"/>
      <c r="X5" s="138"/>
      <c r="Y5" s="136"/>
      <c r="Z5" s="137"/>
      <c r="AA5" s="133"/>
      <c r="AB5" s="133"/>
      <c r="AD5" s="144" t="s">
        <v>50</v>
      </c>
      <c r="AE5" s="144" t="s">
        <v>47</v>
      </c>
      <c r="AF5" s="144" t="s">
        <v>48</v>
      </c>
      <c r="AG5" s="146">
        <v>2018.5</v>
      </c>
      <c r="AH5" s="144">
        <v>101.41893618540759</v>
      </c>
      <c r="AI5" s="144">
        <v>0.1871393591838427</v>
      </c>
      <c r="AJ5" s="144">
        <v>5.8205528854071709</v>
      </c>
      <c r="AK5" s="144">
        <v>1.871393591838427</v>
      </c>
      <c r="AM5" s="1" t="s">
        <v>204</v>
      </c>
      <c r="AN5" s="1" t="s">
        <v>200</v>
      </c>
      <c r="AO5" s="1" t="s">
        <v>201</v>
      </c>
      <c r="AP5" s="5">
        <v>2017.5</v>
      </c>
      <c r="AQ5" s="10">
        <v>2017</v>
      </c>
      <c r="AR5" s="3">
        <v>101.30912530769498</v>
      </c>
      <c r="AS5" s="3">
        <v>0.41308706050505783</v>
      </c>
      <c r="AT5" s="3">
        <v>6.2922174377231244</v>
      </c>
      <c r="AU5" s="3">
        <v>4.2448186802346024</v>
      </c>
      <c r="AW5" s="142">
        <f t="shared" si="0"/>
        <v>9.87080590567302</v>
      </c>
      <c r="AX5" s="140">
        <f t="shared" si="1"/>
        <v>5.0608883455266946</v>
      </c>
      <c r="BA5" s="140">
        <v>2015.8438356199999</v>
      </c>
      <c r="BB5" s="140">
        <v>14.24</v>
      </c>
      <c r="BC5" s="140">
        <v>1.65</v>
      </c>
    </row>
    <row r="6" spans="1:55">
      <c r="A6" s="140" t="s">
        <v>17</v>
      </c>
      <c r="B6" s="140" t="s">
        <v>18</v>
      </c>
      <c r="C6" s="140">
        <v>2017</v>
      </c>
      <c r="D6" s="140">
        <f t="shared" si="2"/>
        <v>2017.5</v>
      </c>
      <c r="E6" s="140">
        <v>100.69357013208233</v>
      </c>
      <c r="F6" s="140">
        <v>0.17122069280935831</v>
      </c>
      <c r="G6" s="140">
        <v>-1.2524483973967993</v>
      </c>
      <c r="H6" s="140">
        <v>1.712206928093583</v>
      </c>
      <c r="I6" s="140">
        <f t="shared" si="3"/>
        <v>4.5904436810355609</v>
      </c>
      <c r="K6" s="140" t="s">
        <v>32</v>
      </c>
      <c r="L6" s="140" t="s">
        <v>33</v>
      </c>
      <c r="M6" s="140">
        <v>2017</v>
      </c>
      <c r="N6" s="140">
        <f t="shared" si="4"/>
        <v>2017.5</v>
      </c>
      <c r="O6" s="140"/>
      <c r="P6" s="140"/>
      <c r="Q6" s="140"/>
      <c r="R6" s="140"/>
      <c r="S6" s="140"/>
      <c r="U6" s="134"/>
      <c r="V6" s="134"/>
      <c r="W6" s="134"/>
      <c r="X6" s="138"/>
      <c r="Y6" s="136"/>
      <c r="Z6" s="137"/>
      <c r="AA6" s="133"/>
      <c r="AB6" s="133"/>
      <c r="AD6" s="144" t="s">
        <v>51</v>
      </c>
      <c r="AE6" s="144" t="s">
        <v>47</v>
      </c>
      <c r="AF6" s="144" t="s">
        <v>48</v>
      </c>
      <c r="AG6" s="146">
        <v>2017.5</v>
      </c>
      <c r="AH6" s="144">
        <v>101.15637793771053</v>
      </c>
      <c r="AI6" s="144">
        <v>0.19031684988587477</v>
      </c>
      <c r="AJ6" s="144">
        <v>3.3379952836387616</v>
      </c>
      <c r="AK6" s="144">
        <v>1.9031684988587476</v>
      </c>
      <c r="AM6" s="1" t="s">
        <v>205</v>
      </c>
      <c r="AN6" s="1" t="s">
        <v>200</v>
      </c>
      <c r="AO6" s="1" t="s">
        <v>201</v>
      </c>
      <c r="AP6" s="5">
        <v>2016.5</v>
      </c>
      <c r="AQ6" s="9">
        <v>2016</v>
      </c>
      <c r="AR6" s="3">
        <v>101.11213206757503</v>
      </c>
      <c r="AS6" s="3">
        <v>0.43109760035440969</v>
      </c>
      <c r="AT6" s="3">
        <v>12.243365033157039</v>
      </c>
      <c r="AU6" s="3">
        <v>4.2837145810433173</v>
      </c>
      <c r="AW6" s="142">
        <f t="shared" si="0"/>
        <v>6.7309797281583927</v>
      </c>
      <c r="AX6" s="140">
        <f t="shared" si="1"/>
        <v>7.7956900593552358</v>
      </c>
      <c r="BA6" s="140">
        <v>2015.8849315099999</v>
      </c>
      <c r="BB6" s="140">
        <v>11.34</v>
      </c>
      <c r="BC6" s="140">
        <v>1.59</v>
      </c>
    </row>
    <row r="7" spans="1:55">
      <c r="A7" s="140" t="s">
        <v>19</v>
      </c>
      <c r="B7" s="140" t="s">
        <v>20</v>
      </c>
      <c r="C7" s="140">
        <v>2016</v>
      </c>
      <c r="D7" s="140">
        <f t="shared" si="2"/>
        <v>2016.5</v>
      </c>
      <c r="E7" s="140">
        <v>101.34388724012484</v>
      </c>
      <c r="F7" s="140">
        <v>0.18298713005217873</v>
      </c>
      <c r="G7" s="140">
        <v>5.3194394838800285</v>
      </c>
      <c r="H7" s="140">
        <v>1.8298713005217873</v>
      </c>
      <c r="I7" s="140">
        <f t="shared" si="3"/>
        <v>2.2802425411416749E-2</v>
      </c>
      <c r="K7" s="140" t="s">
        <v>34</v>
      </c>
      <c r="L7" s="140" t="s">
        <v>35</v>
      </c>
      <c r="M7" s="140">
        <v>2016</v>
      </c>
      <c r="N7" s="140">
        <f t="shared" si="4"/>
        <v>2016.5</v>
      </c>
      <c r="O7" s="140">
        <v>101.25978044336767</v>
      </c>
      <c r="P7" s="140">
        <v>0.21313160822258398</v>
      </c>
      <c r="Q7" s="140">
        <v>4.48510995424245</v>
      </c>
      <c r="R7" s="140">
        <v>2.1313160822258399</v>
      </c>
      <c r="S7" s="140">
        <f>$AJ7-Q7</f>
        <v>0.85713195504899531</v>
      </c>
      <c r="U7" s="134"/>
      <c r="V7" s="134"/>
      <c r="W7" s="134"/>
      <c r="X7" s="138"/>
      <c r="Y7" s="136"/>
      <c r="Z7" s="137"/>
      <c r="AA7" s="133"/>
      <c r="AB7" s="133"/>
      <c r="AD7" s="144" t="s">
        <v>52</v>
      </c>
      <c r="AE7" s="144" t="s">
        <v>47</v>
      </c>
      <c r="AF7" s="144" t="s">
        <v>48</v>
      </c>
      <c r="AG7" s="146">
        <v>2016.5</v>
      </c>
      <c r="AH7" s="144">
        <v>101.34618589897788</v>
      </c>
      <c r="AI7" s="144">
        <v>0.19712921292399868</v>
      </c>
      <c r="AJ7" s="144">
        <v>5.3422419092914453</v>
      </c>
      <c r="AK7" s="144">
        <v>1.9712921292399868</v>
      </c>
      <c r="AM7" s="129" t="s">
        <v>206</v>
      </c>
      <c r="AN7" s="1" t="s">
        <v>200</v>
      </c>
      <c r="AO7" s="1" t="s">
        <v>201</v>
      </c>
      <c r="AP7" s="5">
        <v>2015.5</v>
      </c>
      <c r="AQ7" s="10">
        <v>2015</v>
      </c>
      <c r="AR7" s="3">
        <v>101.35995476515151</v>
      </c>
      <c r="AS7" s="3">
        <v>0.43543090285429031</v>
      </c>
      <c r="AT7" s="3">
        <v>10.656297452616537</v>
      </c>
      <c r="AU7" s="3">
        <v>4.4306785636934167</v>
      </c>
      <c r="AW7" s="142">
        <f t="shared" si="0"/>
        <v>13.486887420044667</v>
      </c>
      <c r="AX7" s="140">
        <f t="shared" si="1"/>
        <v>4.003058721454086</v>
      </c>
      <c r="BA7" s="140">
        <v>2015.9178082200001</v>
      </c>
      <c r="BB7" s="140">
        <v>11.18</v>
      </c>
      <c r="BC7" s="140">
        <v>1.8</v>
      </c>
    </row>
    <row r="8" spans="1:55">
      <c r="A8" s="140" t="s">
        <v>21</v>
      </c>
      <c r="B8" s="140" t="s">
        <v>22</v>
      </c>
      <c r="C8" s="140">
        <v>2015</v>
      </c>
      <c r="D8" s="140">
        <f t="shared" si="2"/>
        <v>2015.5</v>
      </c>
      <c r="E8" s="140">
        <v>102.07777178371622</v>
      </c>
      <c r="F8" s="140">
        <v>0.17655789425872978</v>
      </c>
      <c r="G8" s="140">
        <v>12.721982166285395</v>
      </c>
      <c r="H8" s="140">
        <v>1.7655789425872979</v>
      </c>
      <c r="I8" s="140">
        <f t="shared" si="3"/>
        <v>-3.427378356146038</v>
      </c>
      <c r="K8" s="140" t="s">
        <v>36</v>
      </c>
      <c r="L8" s="140" t="s">
        <v>37</v>
      </c>
      <c r="M8" s="140">
        <v>2015</v>
      </c>
      <c r="N8" s="140">
        <f t="shared" si="4"/>
        <v>2015.5</v>
      </c>
      <c r="O8" s="140">
        <v>101.02491938336908</v>
      </c>
      <c r="P8" s="140">
        <v>0.18533487311076391</v>
      </c>
      <c r="Q8" s="140">
        <v>2.2765467774010784</v>
      </c>
      <c r="R8" s="140">
        <v>1.8533487311076391</v>
      </c>
      <c r="S8" s="140">
        <f>$AJ8-Q8</f>
        <v>7.0180570327382785</v>
      </c>
      <c r="U8" s="134"/>
      <c r="V8" s="134"/>
      <c r="W8" s="134"/>
      <c r="X8" s="138"/>
      <c r="Y8" s="136"/>
      <c r="Z8" s="137"/>
      <c r="AA8" s="133"/>
      <c r="AB8" s="133"/>
      <c r="AD8" s="144" t="s">
        <v>53</v>
      </c>
      <c r="AE8" s="144" t="s">
        <v>47</v>
      </c>
      <c r="AF8" s="144" t="s">
        <v>48</v>
      </c>
      <c r="AG8" s="146">
        <v>2015.5</v>
      </c>
      <c r="AH8" s="144">
        <v>101.73230762690315</v>
      </c>
      <c r="AI8" s="144">
        <v>0.19863711475477139</v>
      </c>
      <c r="AJ8" s="144">
        <v>9.2946038101393569</v>
      </c>
      <c r="AK8" s="144">
        <v>1.9863711475477139</v>
      </c>
      <c r="AM8" s="1" t="s">
        <v>207</v>
      </c>
      <c r="AN8" s="1" t="s">
        <v>200</v>
      </c>
      <c r="AO8" s="1" t="s">
        <v>201</v>
      </c>
      <c r="AP8" s="5">
        <v>2014.5</v>
      </c>
      <c r="AQ8" s="9">
        <v>2014</v>
      </c>
      <c r="AR8" s="3">
        <v>102.34519402857065</v>
      </c>
      <c r="AS8" s="3">
        <v>0.42387209688515032</v>
      </c>
      <c r="AT8" s="3">
        <v>14.707315095849882</v>
      </c>
      <c r="AU8" s="3">
        <v>4.3261115759163147</v>
      </c>
      <c r="AW8" s="142">
        <f t="shared" si="0"/>
        <v>15.68831114382918</v>
      </c>
      <c r="AX8" s="140">
        <f t="shared" si="1"/>
        <v>1.3873379156867307</v>
      </c>
      <c r="BA8" s="140">
        <v>2015.95616438</v>
      </c>
      <c r="BB8" s="140">
        <v>13.9</v>
      </c>
      <c r="BC8" s="140">
        <v>1.71</v>
      </c>
    </row>
    <row r="9" spans="1:55">
      <c r="A9" s="140" t="s">
        <v>23</v>
      </c>
      <c r="B9" s="140" t="s">
        <v>24</v>
      </c>
      <c r="C9" s="140">
        <v>2014</v>
      </c>
      <c r="D9" s="140">
        <f t="shared" si="2"/>
        <v>2014.5</v>
      </c>
      <c r="E9" s="140">
        <v>102.5562410368202</v>
      </c>
      <c r="F9" s="140">
        <v>0.1735378420892372</v>
      </c>
      <c r="G9" s="140">
        <v>17.591998437075816</v>
      </c>
      <c r="H9" s="140">
        <v>1.7353784208923719</v>
      </c>
      <c r="I9" s="140">
        <f t="shared" si="3"/>
        <v>-2.2297834873241644</v>
      </c>
      <c r="K9" s="140" t="s">
        <v>38</v>
      </c>
      <c r="L9" s="140" t="s">
        <v>39</v>
      </c>
      <c r="M9" s="140">
        <v>2014</v>
      </c>
      <c r="N9" s="140">
        <f t="shared" si="4"/>
        <v>2014.5</v>
      </c>
      <c r="O9" s="140">
        <v>102.04540231611358</v>
      </c>
      <c r="P9" s="140">
        <v>0.17295770244844097</v>
      </c>
      <c r="Q9" s="140">
        <v>12.523312324679736</v>
      </c>
      <c r="R9" s="140">
        <v>1.7295770244844098</v>
      </c>
      <c r="S9" s="140">
        <f>$AJ9-Q9</f>
        <v>2.8389026250719152</v>
      </c>
      <c r="U9" s="134"/>
      <c r="V9" s="134"/>
      <c r="W9" s="134"/>
      <c r="X9" s="138"/>
      <c r="Y9" s="136"/>
      <c r="Z9" s="137"/>
      <c r="AA9" s="133"/>
      <c r="AB9" s="133"/>
      <c r="AD9" s="144" t="s">
        <v>54</v>
      </c>
      <c r="AE9" s="144" t="s">
        <v>47</v>
      </c>
      <c r="AF9" s="144" t="s">
        <v>48</v>
      </c>
      <c r="AG9" s="146">
        <v>2014.5</v>
      </c>
      <c r="AH9" s="144">
        <v>102.33151618330605</v>
      </c>
      <c r="AI9" s="144">
        <v>0.19713658209104321</v>
      </c>
      <c r="AJ9" s="144">
        <v>15.362214949751651</v>
      </c>
      <c r="AK9" s="144">
        <v>1.9713658209104321</v>
      </c>
      <c r="BA9" s="140">
        <v>2015.9945205500001</v>
      </c>
      <c r="BB9" s="140">
        <v>12.87</v>
      </c>
      <c r="BC9" s="140">
        <v>1.46</v>
      </c>
    </row>
    <row r="10" spans="1:55">
      <c r="K10" s="140" t="s">
        <v>40</v>
      </c>
      <c r="L10" s="140" t="s">
        <v>41</v>
      </c>
      <c r="M10" s="140">
        <v>2013</v>
      </c>
      <c r="N10" s="140">
        <f t="shared" si="4"/>
        <v>2013.5</v>
      </c>
      <c r="O10" s="140">
        <v>103.61089289343231</v>
      </c>
      <c r="P10" s="140">
        <v>0.17968002981937828</v>
      </c>
      <c r="Q10" s="140">
        <v>28.180916312505744</v>
      </c>
      <c r="R10" s="140">
        <v>1.7968002981937827</v>
      </c>
      <c r="S10" s="140"/>
      <c r="AM10" s="1" t="s">
        <v>208</v>
      </c>
      <c r="AN10" s="1" t="s">
        <v>209</v>
      </c>
      <c r="AO10" s="1" t="s">
        <v>210</v>
      </c>
      <c r="AP10" s="3">
        <v>2020.5</v>
      </c>
      <c r="AQ10" s="130">
        <v>2020.5</v>
      </c>
      <c r="AR10" s="3">
        <v>100.47227404792265</v>
      </c>
      <c r="AS10" s="3">
        <v>0.4281975782312446</v>
      </c>
      <c r="AT10" s="3">
        <v>-7.0577768944422026</v>
      </c>
      <c r="AU10" s="3">
        <v>4.2062221647288354</v>
      </c>
      <c r="BA10" s="140">
        <v>2016.0327868899999</v>
      </c>
      <c r="BB10" s="140">
        <v>13.5</v>
      </c>
      <c r="BC10" s="140">
        <v>1.59</v>
      </c>
    </row>
    <row r="11" spans="1:55">
      <c r="K11" s="140" t="s">
        <v>42</v>
      </c>
      <c r="L11" s="140" t="s">
        <v>43</v>
      </c>
      <c r="M11" s="140">
        <v>2012</v>
      </c>
      <c r="N11" s="140">
        <f t="shared" si="4"/>
        <v>2012.5</v>
      </c>
      <c r="O11" s="140"/>
      <c r="P11" s="140"/>
      <c r="Q11" s="140"/>
      <c r="R11" s="140"/>
      <c r="S11" s="140"/>
      <c r="AM11" s="1" t="s">
        <v>211</v>
      </c>
      <c r="AN11" s="1" t="s">
        <v>209</v>
      </c>
      <c r="AO11" s="1" t="s">
        <v>210</v>
      </c>
      <c r="AP11" s="5">
        <v>2019.5</v>
      </c>
      <c r="AQ11" s="131">
        <v>2019.5</v>
      </c>
      <c r="AR11" s="3">
        <v>100.24978292866467</v>
      </c>
      <c r="AS11" s="3">
        <v>0.42609976398399024</v>
      </c>
      <c r="AT11" s="3">
        <v>-6.0311423704315636</v>
      </c>
      <c r="AU11" s="3">
        <v>4.5114435720042687</v>
      </c>
      <c r="BA11" s="140">
        <v>2016.0710382499999</v>
      </c>
      <c r="BB11" s="140">
        <v>13.09</v>
      </c>
      <c r="BC11" s="140">
        <v>1.74</v>
      </c>
    </row>
    <row r="12" spans="1:55">
      <c r="K12" s="140" t="s">
        <v>44</v>
      </c>
      <c r="L12" s="140" t="s">
        <v>45</v>
      </c>
      <c r="M12" s="140">
        <v>2011</v>
      </c>
      <c r="N12" s="140">
        <f t="shared" si="4"/>
        <v>2011.5</v>
      </c>
      <c r="O12" s="140">
        <v>104.322273077101</v>
      </c>
      <c r="P12" s="140">
        <v>0.21729675140870061</v>
      </c>
      <c r="Q12" s="140">
        <v>35.365518552961106</v>
      </c>
      <c r="R12" s="140">
        <v>2.1729675140870062</v>
      </c>
      <c r="S12" s="140"/>
      <c r="AM12" s="1" t="s">
        <v>212</v>
      </c>
      <c r="AN12" s="1" t="s">
        <v>209</v>
      </c>
      <c r="AO12" s="1" t="s">
        <v>210</v>
      </c>
      <c r="AP12" s="5">
        <v>2018.5</v>
      </c>
      <c r="AQ12" s="130">
        <v>2018.5</v>
      </c>
      <c r="AR12" s="3">
        <v>101.0131995323005</v>
      </c>
      <c r="AS12" s="3">
        <v>0.43120369679390719</v>
      </c>
      <c r="AT12" s="3">
        <v>1.7570865388889523</v>
      </c>
      <c r="AU12" s="3">
        <v>3.9801811236701461</v>
      </c>
      <c r="BA12" s="140">
        <v>2016.10928962</v>
      </c>
      <c r="BB12" s="140">
        <v>4.5599999999999996</v>
      </c>
      <c r="BC12" s="140">
        <v>1.65</v>
      </c>
    </row>
    <row r="13" spans="1:55">
      <c r="AM13" s="1" t="s">
        <v>213</v>
      </c>
      <c r="AN13" s="1" t="s">
        <v>209</v>
      </c>
      <c r="AO13" s="1" t="s">
        <v>210</v>
      </c>
      <c r="AP13" s="5">
        <v>2017.5</v>
      </c>
      <c r="AQ13" s="131">
        <v>2017.5</v>
      </c>
      <c r="AR13" s="3">
        <v>101.45422214787226</v>
      </c>
      <c r="AS13" s="3">
        <v>0.42448186802346022</v>
      </c>
      <c r="AT13" s="3">
        <v>13.449394373622914</v>
      </c>
      <c r="AU13" s="3">
        <v>4.245079165318618</v>
      </c>
      <c r="BA13" s="140">
        <v>2016.14754098</v>
      </c>
      <c r="BB13" s="140">
        <v>6.02</v>
      </c>
      <c r="BC13" s="140">
        <v>1.6</v>
      </c>
    </row>
    <row r="14" spans="1:55">
      <c r="A14" s="140" t="s">
        <v>214</v>
      </c>
      <c r="B14" s="140"/>
      <c r="C14" s="140"/>
      <c r="D14" s="140"/>
      <c r="E14" s="140"/>
      <c r="F14" s="140"/>
      <c r="G14" s="140"/>
      <c r="H14" s="140"/>
      <c r="I14" s="140"/>
      <c r="AM14" s="1" t="s">
        <v>215</v>
      </c>
      <c r="AN14" s="1" t="s">
        <v>209</v>
      </c>
      <c r="AO14" s="1" t="s">
        <v>210</v>
      </c>
      <c r="AP14" s="5">
        <v>2016.5</v>
      </c>
      <c r="AQ14" s="130">
        <v>2016.5</v>
      </c>
      <c r="AR14" s="3">
        <v>102.04187188318036</v>
      </c>
      <c r="AS14" s="3">
        <v>0.42837145810433169</v>
      </c>
      <c r="AT14" s="3">
        <v>1.2185944231597468</v>
      </c>
      <c r="AU14" s="3">
        <v>4.2155555584880258</v>
      </c>
      <c r="BA14" s="140">
        <v>2016.1857923499999</v>
      </c>
      <c r="BB14" s="140">
        <v>2.87</v>
      </c>
      <c r="BC14" s="140">
        <v>1.26</v>
      </c>
    </row>
    <row r="15" spans="1:55">
      <c r="A15" s="140" t="s">
        <v>190</v>
      </c>
      <c r="B15" s="140" t="s">
        <v>216</v>
      </c>
      <c r="C15" s="140" t="s">
        <v>138</v>
      </c>
      <c r="D15" s="140" t="s">
        <v>192</v>
      </c>
      <c r="E15" s="140" t="s">
        <v>193</v>
      </c>
      <c r="F15" s="140" t="s">
        <v>194</v>
      </c>
      <c r="G15" s="140" t="s">
        <v>195</v>
      </c>
      <c r="H15" s="140" t="s">
        <v>196</v>
      </c>
      <c r="I15" s="140" t="s">
        <v>197</v>
      </c>
      <c r="AM15" s="1" t="s">
        <v>217</v>
      </c>
      <c r="AN15" s="1" t="s">
        <v>209</v>
      </c>
      <c r="AO15" s="1" t="s">
        <v>210</v>
      </c>
      <c r="AP15" s="5">
        <v>2015.5</v>
      </c>
      <c r="AQ15" s="131">
        <v>2015.5</v>
      </c>
      <c r="AR15" s="3">
        <v>101.86956015555748</v>
      </c>
      <c r="AS15" s="3">
        <v>0.44306785636934171</v>
      </c>
      <c r="AT15" s="3">
        <v>16.317477387472799</v>
      </c>
      <c r="AU15" s="3">
        <v>4.3947707019829627</v>
      </c>
      <c r="BA15" s="140">
        <v>2016.2240437200001</v>
      </c>
      <c r="BB15" s="140">
        <v>9.92</v>
      </c>
      <c r="BC15" s="140">
        <v>1.53</v>
      </c>
    </row>
    <row r="16" spans="1:55">
      <c r="A16" s="140"/>
      <c r="B16" s="140"/>
      <c r="C16" s="140"/>
      <c r="D16" s="140"/>
      <c r="E16" s="141"/>
      <c r="F16" s="141"/>
      <c r="G16" s="140"/>
      <c r="H16" s="140"/>
      <c r="I16" s="140"/>
      <c r="AM16" s="1" t="s">
        <v>218</v>
      </c>
      <c r="AN16" s="1" t="s">
        <v>209</v>
      </c>
      <c r="AO16" s="1" t="s">
        <v>210</v>
      </c>
      <c r="AP16" s="5">
        <v>2014.5</v>
      </c>
      <c r="AQ16" s="130">
        <v>2014.5</v>
      </c>
      <c r="AR16" s="3">
        <v>102.26551323971482</v>
      </c>
      <c r="AS16" s="3">
        <v>0.43261115759163149</v>
      </c>
      <c r="AT16" s="3">
        <v>16.669307191808478</v>
      </c>
      <c r="AU16" s="3">
        <v>4.2274019652818078</v>
      </c>
      <c r="BA16" s="140">
        <v>2016.2622950800001</v>
      </c>
      <c r="BB16" s="140">
        <v>7.43</v>
      </c>
      <c r="BC16" s="140">
        <v>1.71</v>
      </c>
    </row>
    <row r="17" spans="1:55">
      <c r="A17" s="140" t="s">
        <v>219</v>
      </c>
      <c r="B17" s="140"/>
      <c r="C17" s="140">
        <v>2020</v>
      </c>
      <c r="D17" s="140">
        <f t="shared" ref="D17:D23" si="5">C17+0.5</f>
        <v>2020.5</v>
      </c>
      <c r="E17" s="141">
        <v>99.30604522147523</v>
      </c>
      <c r="F17" s="141">
        <v>0.1578865779573288</v>
      </c>
      <c r="G17" s="140">
        <v>-15.37224246351343</v>
      </c>
      <c r="H17" s="140">
        <v>1.5788657795732881</v>
      </c>
      <c r="I17" s="140"/>
      <c r="BA17" s="140">
        <v>2016.3032786900001</v>
      </c>
      <c r="BB17" s="140">
        <v>8.67</v>
      </c>
      <c r="BC17" s="140">
        <v>1.71</v>
      </c>
    </row>
    <row r="18" spans="1:55">
      <c r="A18" s="140" t="s">
        <v>220</v>
      </c>
      <c r="B18" s="140"/>
      <c r="C18" s="140">
        <v>2019</v>
      </c>
      <c r="D18" s="140">
        <f t="shared" si="5"/>
        <v>2019.5</v>
      </c>
      <c r="E18" s="141">
        <v>99.687179238141681</v>
      </c>
      <c r="F18" s="141">
        <v>0.15762348867770273</v>
      </c>
      <c r="G18" s="140">
        <v>-11.473699018396566</v>
      </c>
      <c r="H18" s="140">
        <v>1.5762348867770273</v>
      </c>
      <c r="I18" s="140"/>
      <c r="AM18" s="2"/>
      <c r="AN18" s="2" t="s">
        <v>8</v>
      </c>
      <c r="AO18" s="2" t="s">
        <v>9</v>
      </c>
      <c r="AP18" s="3">
        <v>2020.5</v>
      </c>
      <c r="AQ18" s="4">
        <v>43983</v>
      </c>
      <c r="AR18" s="7">
        <v>99.98499161298426</v>
      </c>
      <c r="AS18" s="8">
        <v>0.18003018511983426</v>
      </c>
      <c r="AT18" s="8">
        <v>-8.6404321143237475</v>
      </c>
      <c r="AU18">
        <v>1.8003018511983426</v>
      </c>
      <c r="BA18" s="140">
        <v>2016.33879781</v>
      </c>
      <c r="BB18" s="140">
        <v>12.35</v>
      </c>
      <c r="BC18" s="140">
        <v>1.43</v>
      </c>
    </row>
    <row r="19" spans="1:55">
      <c r="A19" s="140" t="s">
        <v>221</v>
      </c>
      <c r="B19" s="140"/>
      <c r="C19" s="140">
        <v>2018</v>
      </c>
      <c r="D19" s="140">
        <f t="shared" si="5"/>
        <v>2018.5</v>
      </c>
      <c r="E19" s="141">
        <v>100.00424754934585</v>
      </c>
      <c r="F19" s="141">
        <v>0.16086400775383902</v>
      </c>
      <c r="G19" s="140">
        <v>-8.2095972976220501</v>
      </c>
      <c r="H19" s="140">
        <v>1.6086400775383902</v>
      </c>
      <c r="I19" s="140"/>
      <c r="AM19" s="2"/>
      <c r="AN19" s="2" t="s">
        <v>8</v>
      </c>
      <c r="AO19" s="2" t="s">
        <v>9</v>
      </c>
      <c r="AP19" s="5">
        <v>2019.5</v>
      </c>
      <c r="AQ19" s="6">
        <v>43617</v>
      </c>
      <c r="AR19" s="7">
        <v>100.47721063318644</v>
      </c>
      <c r="AS19" s="8">
        <v>0.18606676526993984</v>
      </c>
      <c r="AT19" s="8">
        <v>-3.6395239662838641</v>
      </c>
      <c r="AU19">
        <v>1.8606676526993984</v>
      </c>
      <c r="BA19" s="140">
        <v>2016.3770491800001</v>
      </c>
      <c r="BB19" s="140">
        <v>11.48</v>
      </c>
      <c r="BC19" s="140">
        <v>1.62</v>
      </c>
    </row>
    <row r="20" spans="1:55">
      <c r="A20" s="140" t="s">
        <v>222</v>
      </c>
      <c r="B20" s="140"/>
      <c r="C20" s="140">
        <v>2017</v>
      </c>
      <c r="D20" s="140">
        <f t="shared" si="5"/>
        <v>2017.5</v>
      </c>
      <c r="E20" s="141">
        <v>101.12025785876406</v>
      </c>
      <c r="F20" s="141">
        <v>0.16374413661967951</v>
      </c>
      <c r="G20" s="140">
        <v>2.9797316888120484</v>
      </c>
      <c r="H20" s="140">
        <v>1.637441366196795</v>
      </c>
      <c r="I20" s="140"/>
      <c r="AM20" s="2"/>
      <c r="AN20" s="2" t="s">
        <v>8</v>
      </c>
      <c r="AO20" s="2" t="s">
        <v>9</v>
      </c>
      <c r="AP20" s="5">
        <v>2018.5</v>
      </c>
      <c r="AQ20" s="6">
        <v>43252</v>
      </c>
      <c r="AR20" s="7">
        <v>100.75331006789764</v>
      </c>
      <c r="AS20" s="8">
        <v>0.18317117342707195</v>
      </c>
      <c r="AT20" s="8">
        <v>-0.78078267095182952</v>
      </c>
      <c r="AU20">
        <v>1.8317117342707196</v>
      </c>
      <c r="BA20" s="140">
        <v>2016.41530055</v>
      </c>
      <c r="BB20" s="140">
        <v>11.07</v>
      </c>
      <c r="BC20" s="140">
        <v>1.1000000000000001</v>
      </c>
    </row>
    <row r="21" spans="1:55">
      <c r="A21" s="140" t="s">
        <v>223</v>
      </c>
      <c r="B21" s="140"/>
      <c r="C21" s="140">
        <v>2016</v>
      </c>
      <c r="D21" s="140">
        <f t="shared" si="5"/>
        <v>2016.5</v>
      </c>
      <c r="E21" s="141">
        <v>100.61808177774378</v>
      </c>
      <c r="F21" s="141">
        <v>0.16058786020504567</v>
      </c>
      <c r="G21" s="140">
        <v>-1.8804653203079447</v>
      </c>
      <c r="H21" s="140">
        <v>1.6058786020504567</v>
      </c>
      <c r="I21" s="140"/>
      <c r="AM21" s="2"/>
      <c r="AN21" s="2" t="s">
        <v>8</v>
      </c>
      <c r="AO21" s="2" t="s">
        <v>9</v>
      </c>
      <c r="AP21" s="5">
        <v>2017.5</v>
      </c>
      <c r="AQ21" s="6">
        <v>42887</v>
      </c>
      <c r="AR21" s="7">
        <v>101.23900230310643</v>
      </c>
      <c r="AS21" s="8">
        <v>0.18521861498020059</v>
      </c>
      <c r="AT21" s="8">
        <v>4.1575201304948628</v>
      </c>
      <c r="AU21">
        <v>1.852186149802006</v>
      </c>
      <c r="BA21" s="140">
        <v>2016.4562841500001</v>
      </c>
      <c r="BB21" s="140">
        <v>10.92</v>
      </c>
      <c r="BC21" s="140">
        <v>1.28</v>
      </c>
    </row>
    <row r="22" spans="1:55">
      <c r="A22" s="140" t="s">
        <v>224</v>
      </c>
      <c r="B22" s="140"/>
      <c r="C22" s="140">
        <v>2015</v>
      </c>
      <c r="D22" s="140">
        <f t="shared" si="5"/>
        <v>2015.5</v>
      </c>
      <c r="E22" s="141">
        <v>101.25183642049205</v>
      </c>
      <c r="F22" s="141">
        <v>0.16040621740391905</v>
      </c>
      <c r="G22" s="140">
        <v>4.5278093941967246</v>
      </c>
      <c r="H22" s="140">
        <v>1.6040621740391905</v>
      </c>
      <c r="I22" s="140"/>
      <c r="AM22" s="2"/>
      <c r="AN22" s="2" t="s">
        <v>8</v>
      </c>
      <c r="AO22" s="2" t="s">
        <v>9</v>
      </c>
      <c r="AP22" s="5">
        <v>2016.5</v>
      </c>
      <c r="AQ22" s="6">
        <v>42522</v>
      </c>
      <c r="AR22" s="7">
        <v>101.37661611590998</v>
      </c>
      <c r="AS22" s="8">
        <v>0.18287000012016091</v>
      </c>
      <c r="AT22" s="8">
        <v>5.6441060814942379</v>
      </c>
      <c r="AU22">
        <v>1.828700001201609</v>
      </c>
      <c r="BA22" s="140">
        <v>2016.4918032800001</v>
      </c>
      <c r="BB22" s="140">
        <v>11.99</v>
      </c>
      <c r="BC22" s="140">
        <v>1.86</v>
      </c>
    </row>
    <row r="23" spans="1:55">
      <c r="A23" s="140" t="s">
        <v>225</v>
      </c>
      <c r="B23" s="140"/>
      <c r="C23" s="140">
        <v>2014</v>
      </c>
      <c r="D23" s="140">
        <f t="shared" si="5"/>
        <v>2014.5</v>
      </c>
      <c r="E23" s="141">
        <v>102.34306614326007</v>
      </c>
      <c r="F23" s="141">
        <v>0.16407712215109888</v>
      </c>
      <c r="G23" s="140">
        <v>15.476816915586777</v>
      </c>
      <c r="H23" s="140">
        <v>1.6407712215109886</v>
      </c>
      <c r="I23" s="140"/>
      <c r="AM23" s="2"/>
      <c r="AN23" s="2" t="s">
        <v>8</v>
      </c>
      <c r="AO23" s="2" t="s">
        <v>9</v>
      </c>
      <c r="AP23" s="5">
        <v>2015.5</v>
      </c>
      <c r="AQ23" s="6">
        <v>42156</v>
      </c>
      <c r="AR23" s="7">
        <v>101.98187116494697</v>
      </c>
      <c r="AS23" s="8">
        <v>0.18731157158440118</v>
      </c>
      <c r="AT23" s="8">
        <v>11.770544227996949</v>
      </c>
      <c r="AU23">
        <v>1.8731157158440117</v>
      </c>
      <c r="BA23" s="140">
        <v>2016.5300546399999</v>
      </c>
      <c r="BB23" s="140">
        <v>9.61</v>
      </c>
      <c r="BC23" s="140">
        <v>1.63</v>
      </c>
    </row>
    <row r="24" spans="1:55">
      <c r="E24" s="13"/>
      <c r="F24" s="13"/>
      <c r="AM24" s="2"/>
      <c r="AN24" s="2" t="s">
        <v>8</v>
      </c>
      <c r="AO24" s="2" t="s">
        <v>9</v>
      </c>
      <c r="AP24" s="5">
        <v>2014.5</v>
      </c>
      <c r="AQ24" s="6">
        <v>41791</v>
      </c>
      <c r="AR24" s="7">
        <v>102.44158823509414</v>
      </c>
      <c r="AS24" s="8">
        <v>0.19890623648174738</v>
      </c>
      <c r="AT24" s="8">
        <v>16.454380945879699</v>
      </c>
      <c r="AU24">
        <v>1.9890623648174737</v>
      </c>
      <c r="BA24" s="140">
        <v>2016.56830601</v>
      </c>
      <c r="BB24" s="140">
        <v>8.92</v>
      </c>
      <c r="BC24" s="140">
        <v>1.6</v>
      </c>
    </row>
    <row r="25" spans="1:55">
      <c r="E25" s="13"/>
      <c r="F25" s="13"/>
      <c r="BA25" s="140">
        <v>2016.6065573799999</v>
      </c>
      <c r="BB25" s="140">
        <v>9.6300000000000008</v>
      </c>
      <c r="BC25" s="140">
        <v>1.45</v>
      </c>
    </row>
    <row r="26" spans="1:55">
      <c r="BA26" s="140">
        <v>2016.6557376999999</v>
      </c>
      <c r="BB26" s="140">
        <v>9.6300000000000008</v>
      </c>
      <c r="BC26" s="140">
        <v>1.82</v>
      </c>
    </row>
    <row r="27" spans="1:55">
      <c r="BA27" s="140">
        <v>2016.68306011</v>
      </c>
      <c r="BB27" s="140">
        <v>10.7</v>
      </c>
      <c r="BC27" s="140">
        <v>1.7</v>
      </c>
    </row>
    <row r="28" spans="1:55">
      <c r="BA28" s="140">
        <v>2016.7213114799999</v>
      </c>
      <c r="BB28" s="140">
        <v>6.14</v>
      </c>
      <c r="BC28" s="140">
        <v>1.32</v>
      </c>
    </row>
    <row r="29" spans="1:55">
      <c r="BA29" s="140">
        <v>2016.7595628399999</v>
      </c>
      <c r="BB29" s="140">
        <v>5.0599999999999996</v>
      </c>
      <c r="BC29" s="140">
        <v>1.33</v>
      </c>
    </row>
    <row r="30" spans="1:55">
      <c r="E30" s="13"/>
      <c r="F30" s="13"/>
      <c r="BA30" s="140">
        <v>2016.7978142100001</v>
      </c>
      <c r="BB30" s="140">
        <v>4.97</v>
      </c>
      <c r="BC30" s="140">
        <v>1.32</v>
      </c>
    </row>
    <row r="31" spans="1:55">
      <c r="E31" s="13"/>
      <c r="F31" s="13"/>
      <c r="BA31" s="140">
        <v>2016.8360655700001</v>
      </c>
      <c r="BB31" s="140">
        <v>2.61</v>
      </c>
      <c r="BC31" s="140">
        <v>1.6</v>
      </c>
    </row>
    <row r="32" spans="1:55">
      <c r="E32" s="13"/>
      <c r="F32" s="13"/>
      <c r="BA32" s="140">
        <v>2016.87431694</v>
      </c>
      <c r="BB32" s="140">
        <v>2.09</v>
      </c>
      <c r="BC32" s="140">
        <v>1.52</v>
      </c>
    </row>
    <row r="33" spans="5:55">
      <c r="E33" s="13"/>
      <c r="F33" s="13"/>
      <c r="BA33" s="140">
        <v>2016.9125683100001</v>
      </c>
      <c r="BB33" s="140">
        <v>-2.8</v>
      </c>
      <c r="BC33" s="140">
        <v>2.4700000000000002</v>
      </c>
    </row>
    <row r="34" spans="5:55">
      <c r="E34" s="13"/>
      <c r="F34" s="13"/>
      <c r="BA34" s="140">
        <v>2016.9508196700001</v>
      </c>
      <c r="BB34" s="140">
        <v>4.3600000000000003</v>
      </c>
      <c r="BC34" s="140">
        <v>1.65</v>
      </c>
    </row>
    <row r="35" spans="5:55">
      <c r="E35" s="13"/>
      <c r="F35" s="13"/>
      <c r="BA35" s="140">
        <v>2016.98907104</v>
      </c>
      <c r="BB35" s="140">
        <v>1.21</v>
      </c>
      <c r="BC35" s="140">
        <v>1.38</v>
      </c>
    </row>
    <row r="36" spans="5:55">
      <c r="E36" s="13"/>
      <c r="F36" s="13"/>
      <c r="BA36" s="140">
        <v>2017.02739726</v>
      </c>
      <c r="BB36" s="140">
        <v>-5.52</v>
      </c>
      <c r="BC36" s="140">
        <v>1.65</v>
      </c>
    </row>
    <row r="37" spans="5:55">
      <c r="E37" s="13"/>
      <c r="F37" s="13"/>
      <c r="BA37" s="140">
        <v>2017.06575342</v>
      </c>
      <c r="BB37" s="140">
        <v>1.41</v>
      </c>
      <c r="BC37" s="140">
        <v>2.38</v>
      </c>
    </row>
    <row r="38" spans="5:55">
      <c r="E38" s="13"/>
      <c r="F38" s="13"/>
      <c r="BA38" s="140">
        <v>2017.10410959</v>
      </c>
      <c r="BB38" s="140">
        <v>3.02</v>
      </c>
      <c r="BC38" s="140">
        <v>1.39</v>
      </c>
    </row>
    <row r="39" spans="5:55">
      <c r="E39" s="13"/>
      <c r="F39" s="13"/>
      <c r="BA39" s="140">
        <v>2017.1424657499999</v>
      </c>
      <c r="BB39" s="140">
        <v>5.76</v>
      </c>
      <c r="BC39" s="140">
        <v>1.36</v>
      </c>
    </row>
    <row r="40" spans="5:55">
      <c r="BA40" s="140">
        <v>2017.18082192</v>
      </c>
      <c r="BB40" s="140">
        <v>3.38</v>
      </c>
      <c r="BC40" s="140">
        <v>1.5</v>
      </c>
    </row>
    <row r="41" spans="5:55">
      <c r="F41" t="s">
        <v>226</v>
      </c>
      <c r="G41" s="128" t="s">
        <v>195</v>
      </c>
      <c r="H41" t="s">
        <v>227</v>
      </c>
      <c r="I41" t="s">
        <v>228</v>
      </c>
      <c r="J41" t="s">
        <v>227</v>
      </c>
      <c r="K41" t="s">
        <v>229</v>
      </c>
      <c r="L41" t="s">
        <v>230</v>
      </c>
      <c r="M41" t="s">
        <v>231</v>
      </c>
      <c r="N41" t="s">
        <v>195</v>
      </c>
      <c r="O41" t="s">
        <v>232</v>
      </c>
      <c r="P41" t="s">
        <v>233</v>
      </c>
      <c r="Q41" t="s">
        <v>234</v>
      </c>
      <c r="BA41" s="140">
        <v>2017.2191780799999</v>
      </c>
      <c r="BB41" s="140">
        <v>-0.01</v>
      </c>
      <c r="BC41" s="140">
        <v>1.61</v>
      </c>
    </row>
    <row r="42" spans="5:55">
      <c r="F42">
        <v>2021</v>
      </c>
      <c r="G42">
        <f>(G30+G16)/2</f>
        <v>0</v>
      </c>
      <c r="H42" s="13">
        <v>2.5</v>
      </c>
      <c r="I42" s="132"/>
      <c r="J42" s="13">
        <v>2.5</v>
      </c>
      <c r="M42" t="s">
        <v>231</v>
      </c>
      <c r="P42" t="s">
        <v>233</v>
      </c>
      <c r="Q42" t="s">
        <v>234</v>
      </c>
      <c r="R42" t="s">
        <v>235</v>
      </c>
      <c r="BA42" s="140">
        <v>2017.2575342499999</v>
      </c>
      <c r="BB42" s="140">
        <v>3.44</v>
      </c>
      <c r="BC42" s="140">
        <v>1.41</v>
      </c>
    </row>
    <row r="43" spans="5:55">
      <c r="F43">
        <v>2020</v>
      </c>
      <c r="G43">
        <f t="shared" ref="G43:G48" si="6">(G31+G17)/2</f>
        <v>-7.6861212317567151</v>
      </c>
      <c r="H43" s="13">
        <v>2.5</v>
      </c>
      <c r="I43" s="139">
        <f t="shared" ref="I43:I48" si="7">AVERAGE(G3,Q3)</f>
        <v>-24.960569523143516</v>
      </c>
      <c r="J43" s="13">
        <v>2.5</v>
      </c>
      <c r="K43" s="8">
        <v>-8.6404321143237475</v>
      </c>
      <c r="L43">
        <v>1.8003018511983426</v>
      </c>
      <c r="M43" s="9">
        <v>2020</v>
      </c>
      <c r="N43" s="126">
        <v>-5.4333814226196209</v>
      </c>
      <c r="O43">
        <v>2.2972421069089357</v>
      </c>
      <c r="P43" s="126">
        <f t="shared" ref="P43:P48" si="8">N43-I43</f>
        <v>19.527188100523894</v>
      </c>
      <c r="Q43" s="126">
        <f t="shared" ref="Q43:Q48" si="9">N43-G43</f>
        <v>2.2527398091370943</v>
      </c>
      <c r="R43" s="13">
        <f>N43-K43</f>
        <v>3.2070506917041266</v>
      </c>
      <c r="BA43" s="140">
        <v>2017.2958904100001</v>
      </c>
      <c r="BB43" s="140">
        <v>0.27</v>
      </c>
      <c r="BC43" s="140">
        <v>1.71</v>
      </c>
    </row>
    <row r="44" spans="5:55">
      <c r="F44">
        <v>2019</v>
      </c>
      <c r="G44">
        <f t="shared" si="6"/>
        <v>-5.736849509198283</v>
      </c>
      <c r="H44" s="13">
        <v>2.5</v>
      </c>
      <c r="I44" s="139">
        <f t="shared" si="7"/>
        <v>-13.516624257546351</v>
      </c>
      <c r="J44" s="13">
        <v>2.5</v>
      </c>
      <c r="K44" s="8">
        <v>-3.6395239662838641</v>
      </c>
      <c r="L44">
        <v>1.8606676526993984</v>
      </c>
      <c r="M44" s="10">
        <v>2019</v>
      </c>
      <c r="N44" s="126">
        <v>-5.9629519314214896</v>
      </c>
      <c r="O44">
        <v>9.6435843672222077E-2</v>
      </c>
      <c r="P44" s="126">
        <f t="shared" si="8"/>
        <v>7.5536723261248611</v>
      </c>
      <c r="Q44" s="126">
        <f t="shared" si="9"/>
        <v>-0.22610242222320664</v>
      </c>
      <c r="R44" s="13">
        <f t="shared" ref="R44:R48" si="10">N44-K44</f>
        <v>-2.3234279651376255</v>
      </c>
      <c r="BA44" s="140">
        <v>2017.3315068500001</v>
      </c>
      <c r="BB44" s="140">
        <v>5.19</v>
      </c>
      <c r="BC44" s="140">
        <v>1.51</v>
      </c>
    </row>
    <row r="45" spans="5:55">
      <c r="F45">
        <v>2018</v>
      </c>
      <c r="G45">
        <f t="shared" si="6"/>
        <v>-4.1047986488110251</v>
      </c>
      <c r="H45" s="13">
        <v>2.5</v>
      </c>
      <c r="I45" s="139">
        <f t="shared" si="7"/>
        <v>-3.0483943506025013</v>
      </c>
      <c r="J45" s="13">
        <v>2.5</v>
      </c>
      <c r="K45" s="8">
        <v>-0.78078267095182952</v>
      </c>
      <c r="L45">
        <v>1.8317117342707196</v>
      </c>
      <c r="M45" s="9">
        <v>2018</v>
      </c>
      <c r="N45" s="126">
        <v>1.7768765775445505</v>
      </c>
      <c r="O45">
        <v>2.798734106663486E-2</v>
      </c>
      <c r="P45" s="126">
        <f t="shared" si="8"/>
        <v>4.8252709281470523</v>
      </c>
      <c r="Q45" s="126">
        <f t="shared" si="9"/>
        <v>5.8816752263555756</v>
      </c>
      <c r="R45" s="13">
        <f t="shared" si="10"/>
        <v>2.55765924849638</v>
      </c>
      <c r="BA45" s="140">
        <v>2017.37260274</v>
      </c>
      <c r="BB45" s="140">
        <v>4.1900000000000004</v>
      </c>
      <c r="BC45" s="140">
        <v>1.63</v>
      </c>
    </row>
    <row r="46" spans="5:55">
      <c r="F46">
        <v>2017</v>
      </c>
      <c r="G46">
        <f t="shared" si="6"/>
        <v>1.4898658444060242</v>
      </c>
      <c r="H46" s="13">
        <v>2.5</v>
      </c>
      <c r="I46" s="139">
        <f t="shared" si="7"/>
        <v>-1.2524483973967993</v>
      </c>
      <c r="J46" s="13">
        <v>2.5</v>
      </c>
      <c r="K46" s="8">
        <v>4.1575201304948628</v>
      </c>
      <c r="L46">
        <v>1.852186149802006</v>
      </c>
      <c r="M46" s="10">
        <v>2017</v>
      </c>
      <c r="N46" s="126">
        <v>9.87080590567302</v>
      </c>
      <c r="O46">
        <v>5.0608883455266946</v>
      </c>
      <c r="P46" s="126">
        <f t="shared" si="8"/>
        <v>11.123254303069819</v>
      </c>
      <c r="Q46" s="126">
        <f t="shared" si="9"/>
        <v>8.3809400612669958</v>
      </c>
      <c r="R46" s="13">
        <f t="shared" si="10"/>
        <v>5.7132857751781572</v>
      </c>
      <c r="BA46" s="140">
        <v>2017.4109589</v>
      </c>
      <c r="BB46" s="140">
        <v>9.5</v>
      </c>
      <c r="BC46" s="140">
        <v>1.24</v>
      </c>
    </row>
    <row r="47" spans="5:55">
      <c r="F47">
        <v>2016</v>
      </c>
      <c r="G47">
        <f t="shared" si="6"/>
        <v>-0.94023266015397233</v>
      </c>
      <c r="H47" s="13">
        <v>2.5</v>
      </c>
      <c r="I47" s="139">
        <f t="shared" si="7"/>
        <v>4.9022747190612392</v>
      </c>
      <c r="J47" s="13">
        <v>2.5</v>
      </c>
      <c r="K47" s="8">
        <v>5.6441060814942379</v>
      </c>
      <c r="L47">
        <v>1.828700001201609</v>
      </c>
      <c r="M47" s="9">
        <v>2016</v>
      </c>
      <c r="N47" s="126">
        <v>6.7309797281583927</v>
      </c>
      <c r="O47">
        <v>7.7956900593552358</v>
      </c>
      <c r="P47" s="126">
        <f t="shared" si="8"/>
        <v>1.8287050090971535</v>
      </c>
      <c r="Q47" s="126">
        <f t="shared" si="9"/>
        <v>7.6712123883123651</v>
      </c>
      <c r="R47" s="13">
        <f t="shared" si="10"/>
        <v>1.0868736466641549</v>
      </c>
      <c r="BA47" s="140">
        <v>2017.4630136999999</v>
      </c>
      <c r="BB47" s="140">
        <v>9.35</v>
      </c>
      <c r="BC47" s="140">
        <v>1.8</v>
      </c>
    </row>
    <row r="48" spans="5:55">
      <c r="F48">
        <v>2015</v>
      </c>
      <c r="G48">
        <f t="shared" si="6"/>
        <v>2.2639046970983623</v>
      </c>
      <c r="H48" s="13">
        <v>2.5</v>
      </c>
      <c r="I48" s="139">
        <f t="shared" si="7"/>
        <v>7.4992644718432366</v>
      </c>
      <c r="J48" s="13">
        <v>2.5</v>
      </c>
      <c r="K48" s="8">
        <v>11.770544227996949</v>
      </c>
      <c r="L48">
        <v>1.8731157158440117</v>
      </c>
      <c r="M48" s="10">
        <v>2015</v>
      </c>
      <c r="N48" s="126">
        <v>13.486887420044667</v>
      </c>
      <c r="O48">
        <v>4.003058721454086</v>
      </c>
      <c r="P48" s="126">
        <f t="shared" si="8"/>
        <v>5.9876229482014303</v>
      </c>
      <c r="Q48" s="126">
        <f t="shared" si="9"/>
        <v>11.222982722946306</v>
      </c>
      <c r="R48" s="13">
        <f t="shared" si="10"/>
        <v>1.7163431920477183</v>
      </c>
      <c r="BA48" s="140">
        <v>2017.49041096</v>
      </c>
      <c r="BB48" s="140">
        <v>12.27</v>
      </c>
      <c r="BC48" s="140">
        <v>1.58</v>
      </c>
    </row>
    <row r="49" spans="8:55">
      <c r="H49" s="13"/>
      <c r="J49" s="13"/>
      <c r="K49" s="8"/>
      <c r="M49" s="9"/>
      <c r="N49" s="126"/>
      <c r="P49" s="126"/>
      <c r="Q49" s="126"/>
      <c r="R49" s="13"/>
      <c r="BA49" s="140">
        <v>2017.5260274</v>
      </c>
      <c r="BB49" s="140">
        <v>8.33</v>
      </c>
      <c r="BC49" s="140">
        <v>1.44</v>
      </c>
    </row>
    <row r="50" spans="8:55">
      <c r="H50" s="13"/>
      <c r="J50" s="13"/>
      <c r="BA50" s="140">
        <v>2017.5643835599999</v>
      </c>
      <c r="BB50" s="140">
        <v>12.06</v>
      </c>
      <c r="BC50" s="140">
        <v>1.79</v>
      </c>
    </row>
    <row r="51" spans="8:55">
      <c r="H51" s="13"/>
      <c r="J51" s="13"/>
      <c r="BA51" s="140">
        <v>2017.6027397299999</v>
      </c>
      <c r="BB51" s="140">
        <v>4.18</v>
      </c>
      <c r="BC51" s="140">
        <v>1.71</v>
      </c>
    </row>
    <row r="52" spans="8:55">
      <c r="BA52" s="140">
        <v>2017.6410958900001</v>
      </c>
      <c r="BB52" s="140">
        <v>9.1999999999999993</v>
      </c>
      <c r="BC52" s="140">
        <v>1.63</v>
      </c>
    </row>
    <row r="53" spans="8:55">
      <c r="BA53" s="140">
        <v>2017.67945205</v>
      </c>
      <c r="BB53" s="140">
        <v>7.53</v>
      </c>
      <c r="BC53" s="140">
        <v>1.31</v>
      </c>
    </row>
    <row r="54" spans="8:55">
      <c r="BA54" s="140">
        <v>2017.7178082200001</v>
      </c>
      <c r="BB54" s="140">
        <v>3.19</v>
      </c>
      <c r="BC54" s="140">
        <v>1.88</v>
      </c>
    </row>
    <row r="55" spans="8:55">
      <c r="BA55" s="140">
        <v>2017.75616438</v>
      </c>
      <c r="BB55" s="140">
        <v>5.61</v>
      </c>
      <c r="BC55" s="140">
        <v>1.65</v>
      </c>
    </row>
    <row r="56" spans="8:55">
      <c r="BA56" s="140">
        <v>2017.7972602699999</v>
      </c>
      <c r="BB56" s="140">
        <v>-5.08</v>
      </c>
      <c r="BC56" s="140">
        <v>1.56</v>
      </c>
    </row>
    <row r="57" spans="8:55">
      <c r="BA57" s="140">
        <v>2017.8328767099999</v>
      </c>
      <c r="BB57" s="140">
        <v>-0.24</v>
      </c>
      <c r="BC57" s="140">
        <v>1.58</v>
      </c>
    </row>
    <row r="58" spans="8:55">
      <c r="BA58" s="140">
        <v>2017.87123288</v>
      </c>
      <c r="BB58" s="140">
        <v>7.67</v>
      </c>
      <c r="BC58" s="140">
        <v>1.6</v>
      </c>
    </row>
    <row r="59" spans="8:55">
      <c r="BA59" s="140">
        <v>2017.9095890399999</v>
      </c>
      <c r="BB59" s="140">
        <v>0.3</v>
      </c>
      <c r="BC59" s="140">
        <v>1.98</v>
      </c>
    </row>
    <row r="60" spans="8:55">
      <c r="BA60" s="140">
        <v>2017.9479452099999</v>
      </c>
      <c r="BB60" s="140">
        <v>7.05</v>
      </c>
      <c r="BC60" s="140">
        <v>1.58</v>
      </c>
    </row>
    <row r="61" spans="8:55">
      <c r="BA61" s="140">
        <v>2017.9863013700001</v>
      </c>
      <c r="BB61" s="140">
        <v>1.51</v>
      </c>
      <c r="BC61" s="140">
        <v>1.67</v>
      </c>
    </row>
    <row r="62" spans="8:55">
      <c r="BA62" s="140">
        <v>2018.02465753</v>
      </c>
      <c r="BB62" s="140">
        <v>0.68</v>
      </c>
      <c r="BC62" s="140">
        <v>1.5</v>
      </c>
    </row>
    <row r="63" spans="8:55">
      <c r="BA63" s="140">
        <v>2018.0630137000001</v>
      </c>
      <c r="BB63" s="140">
        <v>0.89</v>
      </c>
      <c r="BC63" s="140">
        <v>1.86</v>
      </c>
    </row>
    <row r="64" spans="8:55">
      <c r="BA64" s="140">
        <v>2018.10136986</v>
      </c>
      <c r="BB64" s="140">
        <v>-5.7</v>
      </c>
      <c r="BC64" s="140">
        <v>1.61</v>
      </c>
    </row>
    <row r="65" spans="53:55">
      <c r="BA65" s="140">
        <v>2018.13972603</v>
      </c>
      <c r="BB65" s="140">
        <v>-5.2</v>
      </c>
      <c r="BC65" s="140">
        <v>1.28</v>
      </c>
    </row>
    <row r="66" spans="53:55">
      <c r="BA66" s="140">
        <v>2018.1780821899999</v>
      </c>
      <c r="BB66" s="140">
        <v>13.95</v>
      </c>
      <c r="BC66" s="140">
        <v>1.26</v>
      </c>
    </row>
    <row r="67" spans="53:55">
      <c r="BA67" s="140">
        <v>2018.21643836</v>
      </c>
      <c r="BB67" s="140">
        <v>-0.68</v>
      </c>
      <c r="BC67" s="140">
        <v>1.3</v>
      </c>
    </row>
    <row r="68" spans="53:55">
      <c r="BA68" s="140">
        <v>2018.2547945199999</v>
      </c>
      <c r="BB68" s="140">
        <v>-1.27</v>
      </c>
      <c r="BC68" s="140">
        <v>1.26</v>
      </c>
    </row>
    <row r="69" spans="53:55">
      <c r="BA69" s="140">
        <v>2018.2931506800001</v>
      </c>
      <c r="BB69" s="140">
        <v>0.96</v>
      </c>
      <c r="BC69" s="140">
        <v>1.1100000000000001</v>
      </c>
    </row>
    <row r="70" spans="53:55">
      <c r="BA70" s="140">
        <v>2018.3315068500001</v>
      </c>
      <c r="BB70" s="140">
        <v>-2.0099999999999998</v>
      </c>
      <c r="BC70" s="140">
        <v>1.39</v>
      </c>
    </row>
    <row r="71" spans="53:55">
      <c r="BA71" s="140">
        <v>2018.36986301</v>
      </c>
      <c r="BB71" s="140">
        <v>2.46</v>
      </c>
      <c r="BC71" s="140">
        <v>1.43</v>
      </c>
    </row>
    <row r="72" spans="53:55">
      <c r="BA72" s="140">
        <v>2018.4082191800001</v>
      </c>
      <c r="BB72" s="140">
        <v>-3.55</v>
      </c>
      <c r="BC72" s="140">
        <v>2</v>
      </c>
    </row>
    <row r="73" spans="53:55">
      <c r="BA73" s="140">
        <v>2018.44657534</v>
      </c>
      <c r="BB73" s="140">
        <v>1.26</v>
      </c>
      <c r="BC73" s="140">
        <v>1.62</v>
      </c>
    </row>
    <row r="74" spans="53:55">
      <c r="BA74" s="140">
        <v>2018.48493151</v>
      </c>
      <c r="BB74" s="140">
        <v>4.28</v>
      </c>
      <c r="BC74" s="140">
        <v>1.75</v>
      </c>
    </row>
    <row r="75" spans="53:55">
      <c r="BA75" s="140">
        <v>2018.5232876699999</v>
      </c>
      <c r="BB75" s="140">
        <v>0.38</v>
      </c>
      <c r="BC75" s="140">
        <v>1.28</v>
      </c>
    </row>
    <row r="76" spans="53:55">
      <c r="BA76" s="140">
        <v>2018.56164384</v>
      </c>
      <c r="BB76" s="140">
        <v>0.76</v>
      </c>
      <c r="BC76" s="140">
        <v>1.21</v>
      </c>
    </row>
    <row r="77" spans="53:55">
      <c r="BA77" s="140">
        <v>2018.6</v>
      </c>
      <c r="BB77" s="140">
        <v>2.0299999999999998</v>
      </c>
      <c r="BC77" s="140">
        <v>1.6</v>
      </c>
    </row>
    <row r="78" spans="53:55">
      <c r="BA78" s="140">
        <v>2018.6383561600001</v>
      </c>
      <c r="BB78" s="140">
        <v>-0.26</v>
      </c>
      <c r="BC78" s="140">
        <v>1.6</v>
      </c>
    </row>
    <row r="79" spans="53:55">
      <c r="BA79" s="140">
        <v>2018.6767123300001</v>
      </c>
      <c r="BB79" s="140">
        <v>-0.99</v>
      </c>
      <c r="BC79" s="140">
        <v>1.99</v>
      </c>
    </row>
    <row r="80" spans="53:55">
      <c r="BA80" s="140">
        <v>2018.71506849</v>
      </c>
      <c r="BB80" s="140">
        <v>-1.74</v>
      </c>
      <c r="BC80" s="140">
        <v>2.41</v>
      </c>
    </row>
    <row r="81" spans="53:55">
      <c r="BA81" s="140">
        <v>2018.75616438</v>
      </c>
      <c r="BB81" s="140">
        <v>2.94</v>
      </c>
      <c r="BC81" s="140">
        <v>1.43</v>
      </c>
    </row>
    <row r="82" spans="53:55">
      <c r="BA82" s="140">
        <v>2018.7928158300001</v>
      </c>
      <c r="BB82" s="140">
        <v>0.49</v>
      </c>
      <c r="BC82" s="140">
        <v>1.48</v>
      </c>
    </row>
    <row r="83" spans="53:55">
      <c r="BA83" s="140">
        <v>2018.83137747</v>
      </c>
      <c r="BB83" s="140">
        <v>-4.2300000000000004</v>
      </c>
      <c r="BC83" s="140">
        <v>1.54</v>
      </c>
    </row>
    <row r="84" spans="53:55">
      <c r="BA84" s="140">
        <v>2018.8699676599999</v>
      </c>
      <c r="BB84" s="140">
        <v>-5.93</v>
      </c>
      <c r="BC84" s="140">
        <v>1.61</v>
      </c>
    </row>
    <row r="85" spans="53:55">
      <c r="BA85" s="140">
        <v>2018.90804224</v>
      </c>
      <c r="BB85" s="140">
        <v>0.77</v>
      </c>
      <c r="BC85" s="140">
        <v>1.58</v>
      </c>
    </row>
    <row r="86" spans="53:55">
      <c r="BA86" s="140">
        <v>2018.94641172</v>
      </c>
      <c r="BB86" s="140">
        <v>-0.11</v>
      </c>
      <c r="BC86" s="140">
        <v>1.75</v>
      </c>
    </row>
    <row r="87" spans="53:55">
      <c r="BA87" s="140">
        <v>2018.9875114199999</v>
      </c>
      <c r="BB87" s="140">
        <v>0.13</v>
      </c>
      <c r="BC87" s="140">
        <v>2.04</v>
      </c>
    </row>
    <row r="88" spans="53:55">
      <c r="BA88" s="140">
        <v>2019.02312024</v>
      </c>
      <c r="BB88" s="140">
        <v>-3.57</v>
      </c>
      <c r="BC88" s="140">
        <v>1.28</v>
      </c>
    </row>
    <row r="89" spans="53:55">
      <c r="BA89" s="140">
        <v>2019.0617770199999</v>
      </c>
      <c r="BB89" s="140">
        <v>-2.69</v>
      </c>
      <c r="BC89" s="140">
        <v>1.41</v>
      </c>
    </row>
    <row r="90" spans="53:55">
      <c r="BA90" s="140">
        <v>2019.09984399</v>
      </c>
      <c r="BB90" s="140">
        <v>-3.9</v>
      </c>
      <c r="BC90" s="140">
        <v>1.6</v>
      </c>
    </row>
    <row r="91" spans="53:55">
      <c r="BA91" s="140">
        <v>2019.1379433</v>
      </c>
      <c r="BB91" s="140">
        <v>-3.18</v>
      </c>
      <c r="BC91" s="140">
        <v>1.9</v>
      </c>
    </row>
    <row r="92" spans="53:55">
      <c r="BA92" s="140">
        <v>2019.1765639299999</v>
      </c>
      <c r="BB92" s="140">
        <v>-3.63</v>
      </c>
      <c r="BC92" s="140">
        <v>1.95</v>
      </c>
    </row>
    <row r="93" spans="53:55">
      <c r="BA93" s="140">
        <v>2019.21519216</v>
      </c>
      <c r="BB93" s="140">
        <v>-10.77</v>
      </c>
      <c r="BC93" s="140">
        <v>1.3</v>
      </c>
    </row>
    <row r="94" spans="53:55">
      <c r="BA94" s="140">
        <v>2019.25311263</v>
      </c>
      <c r="BB94" s="140">
        <v>-3.75</v>
      </c>
      <c r="BC94" s="140">
        <v>1.84</v>
      </c>
    </row>
    <row r="95" spans="53:55">
      <c r="BA95" s="140">
        <v>2019.2914802099999</v>
      </c>
      <c r="BB95" s="140">
        <v>3.28</v>
      </c>
      <c r="BC95" s="140">
        <v>1.85</v>
      </c>
    </row>
    <row r="96" spans="53:55">
      <c r="BA96" s="140">
        <v>2019.3274429200001</v>
      </c>
      <c r="BB96" s="140">
        <v>0.49</v>
      </c>
      <c r="BC96" s="140">
        <v>1.64</v>
      </c>
    </row>
    <row r="97" spans="53:55">
      <c r="BA97" s="140">
        <v>2019.3682343999999</v>
      </c>
      <c r="BB97" s="140">
        <v>-6.52</v>
      </c>
      <c r="BC97" s="140">
        <v>1.26</v>
      </c>
    </row>
    <row r="98" spans="53:55">
      <c r="BA98" s="140">
        <v>2019.40659056</v>
      </c>
      <c r="BB98" s="140">
        <v>-2.09</v>
      </c>
      <c r="BC98" s="140">
        <v>1.51</v>
      </c>
    </row>
    <row r="99" spans="53:55">
      <c r="BA99" s="140">
        <v>2019.4452302100001</v>
      </c>
      <c r="BB99" s="140">
        <v>-2.37</v>
      </c>
      <c r="BC99" s="140">
        <v>1.52</v>
      </c>
    </row>
    <row r="100" spans="53:55">
      <c r="BA100" s="140">
        <v>2019.4832743500001</v>
      </c>
      <c r="BB100" s="140">
        <v>-2.81</v>
      </c>
      <c r="BC100" s="140">
        <v>1.65</v>
      </c>
    </row>
    <row r="101" spans="53:55">
      <c r="BA101" s="140">
        <v>2019.5216229099999</v>
      </c>
      <c r="BB101" s="140">
        <v>-2.37</v>
      </c>
      <c r="BC101" s="140">
        <v>1.53</v>
      </c>
    </row>
    <row r="102" spans="53:55">
      <c r="BA102" s="140">
        <v>2019.5600095100001</v>
      </c>
      <c r="BB102" s="140">
        <v>-2.31</v>
      </c>
      <c r="BC102" s="140">
        <v>1.1399999999999999</v>
      </c>
    </row>
    <row r="103" spans="53:55">
      <c r="BA103" s="140">
        <v>2019.5982705500001</v>
      </c>
      <c r="BB103" s="140">
        <v>-2.02</v>
      </c>
      <c r="BC103" s="140">
        <v>1.49</v>
      </c>
    </row>
    <row r="104" spans="53:55">
      <c r="BA104" s="140">
        <v>2019.63652968</v>
      </c>
      <c r="BB104" s="140">
        <v>-3.21</v>
      </c>
      <c r="BC104" s="140">
        <v>1.64</v>
      </c>
    </row>
    <row r="105" spans="53:55">
      <c r="BA105" s="140">
        <v>2019.67505327</v>
      </c>
      <c r="BB105" s="140">
        <v>-3.9</v>
      </c>
      <c r="BC105" s="140">
        <v>1.56</v>
      </c>
    </row>
    <row r="106" spans="53:55">
      <c r="BA106" s="140">
        <v>2019.71506849</v>
      </c>
      <c r="BB106" s="140">
        <v>-1.79</v>
      </c>
      <c r="BC106" s="140">
        <v>1.59</v>
      </c>
    </row>
    <row r="107" spans="53:55">
      <c r="BA107" s="140">
        <v>2019.7520338700001</v>
      </c>
      <c r="BB107" s="140">
        <v>-2.73</v>
      </c>
      <c r="BC107" s="140">
        <v>1.66</v>
      </c>
    </row>
    <row r="108" spans="53:55">
      <c r="BA108" s="140">
        <v>2019.79010464</v>
      </c>
      <c r="BB108" s="140">
        <v>-3.01</v>
      </c>
      <c r="BC108" s="140">
        <v>1.79</v>
      </c>
    </row>
    <row r="109" spans="53:55">
      <c r="BA109" s="140">
        <v>2019.8285692500001</v>
      </c>
      <c r="BB109" s="140">
        <v>0.51</v>
      </c>
      <c r="BC109" s="140">
        <v>1.86</v>
      </c>
    </row>
    <row r="110" spans="53:55">
      <c r="BA110" s="140">
        <v>2019.86732306</v>
      </c>
      <c r="BB110" s="140">
        <v>-5.14</v>
      </c>
      <c r="BC110" s="140">
        <v>1.43</v>
      </c>
    </row>
    <row r="111" spans="53:55">
      <c r="BA111" s="140">
        <v>2019.9057344</v>
      </c>
      <c r="BB111" s="140">
        <v>-0.36</v>
      </c>
      <c r="BC111" s="140">
        <v>1.83</v>
      </c>
    </row>
    <row r="112" spans="53:55">
      <c r="BA112" s="140">
        <v>2019.9466971100001</v>
      </c>
      <c r="BB112" s="140">
        <v>-1.18</v>
      </c>
      <c r="BC112" s="140">
        <v>1.53</v>
      </c>
    </row>
    <row r="113" spans="53:55">
      <c r="BA113" s="140">
        <v>2019.9873002300001</v>
      </c>
      <c r="BB113" s="140">
        <v>-4.55</v>
      </c>
      <c r="BC113" s="140">
        <v>1.47</v>
      </c>
    </row>
    <row r="114" spans="53:55">
      <c r="BA114" s="140">
        <v>2020.05882286</v>
      </c>
      <c r="BB114" s="140">
        <v>-6.57</v>
      </c>
      <c r="BC114" s="140">
        <v>1.64</v>
      </c>
    </row>
    <row r="115" spans="53:55">
      <c r="BA115" s="140">
        <v>2020.0968161799999</v>
      </c>
      <c r="BB115" s="140">
        <v>-3.82</v>
      </c>
      <c r="BC115" s="140">
        <v>1.5</v>
      </c>
    </row>
    <row r="116" spans="53:55">
      <c r="BA116" s="140">
        <v>2020.1349499099999</v>
      </c>
      <c r="BB116" s="140">
        <v>-5.25</v>
      </c>
      <c r="BC116" s="140">
        <v>1.47</v>
      </c>
    </row>
    <row r="117" spans="53:55">
      <c r="BA117" s="140">
        <v>2020.1731121</v>
      </c>
      <c r="BB117" s="140">
        <v>-5.0199999999999996</v>
      </c>
      <c r="BC117" s="140">
        <v>1.65</v>
      </c>
    </row>
    <row r="118" spans="53:55">
      <c r="BA118" s="140">
        <v>2020.2497419599999</v>
      </c>
      <c r="BB118" s="140">
        <v>-6.04</v>
      </c>
      <c r="BC118" s="140">
        <v>1.36</v>
      </c>
    </row>
    <row r="119" spans="53:55">
      <c r="BA119" s="140">
        <v>2020.3261611999999</v>
      </c>
      <c r="BB119" s="140">
        <v>-6.94</v>
      </c>
      <c r="BC119" s="140">
        <v>1.51</v>
      </c>
    </row>
    <row r="120" spans="53:55">
      <c r="BA120" s="140">
        <v>2020.4029011099999</v>
      </c>
      <c r="BB120" s="140">
        <v>-1.64</v>
      </c>
      <c r="BC120" s="140">
        <v>1.1299999999999999</v>
      </c>
    </row>
    <row r="121" spans="53:55">
      <c r="BA121" s="140">
        <v>2020.47919892</v>
      </c>
      <c r="BB121" s="140">
        <v>-2.33</v>
      </c>
      <c r="BC121" s="140">
        <v>1.65</v>
      </c>
    </row>
    <row r="122" spans="53:55">
      <c r="BA122" s="140">
        <v>2020.5174996200001</v>
      </c>
      <c r="BB122" s="140">
        <v>-0.6</v>
      </c>
      <c r="BC122" s="140">
        <v>1.68</v>
      </c>
    </row>
    <row r="123" spans="53:55">
      <c r="BA123" s="140">
        <v>2020.5555422699999</v>
      </c>
      <c r="BB123" s="140">
        <v>-1.88</v>
      </c>
      <c r="BC123" s="140">
        <v>1.0900000000000001</v>
      </c>
    </row>
    <row r="124" spans="53:55">
      <c r="BA124" s="140">
        <v>2020.6320089599999</v>
      </c>
      <c r="BB124" s="140">
        <v>-2.34</v>
      </c>
      <c r="BC124" s="140">
        <v>1.21</v>
      </c>
    </row>
    <row r="125" spans="53:55">
      <c r="BA125" s="140">
        <v>2020.7087507599999</v>
      </c>
      <c r="BB125" s="140">
        <v>-5.25</v>
      </c>
      <c r="BC125" s="140">
        <v>1.04</v>
      </c>
    </row>
    <row r="126" spans="53:55">
      <c r="BA126" s="140">
        <v>2020.74673459</v>
      </c>
      <c r="BB126" s="140">
        <v>7.0000000000000007E-2</v>
      </c>
      <c r="BC126" s="140">
        <v>1.1499999999999999</v>
      </c>
    </row>
    <row r="127" spans="53:55">
      <c r="BA127" s="140">
        <v>2020.82358075</v>
      </c>
      <c r="BB127" s="140">
        <v>-5.61</v>
      </c>
      <c r="BC127" s="140">
        <v>1.1000000000000001</v>
      </c>
    </row>
    <row r="128" spans="53:55">
      <c r="BA128" s="140">
        <v>2020.8619364799999</v>
      </c>
      <c r="BB128" s="140">
        <v>-1.83</v>
      </c>
      <c r="BC128" s="140">
        <v>1.47</v>
      </c>
    </row>
    <row r="129" spans="53:55">
      <c r="BA129" s="140">
        <v>2020.9000815899999</v>
      </c>
      <c r="BB129" s="140">
        <v>-10.84</v>
      </c>
      <c r="BC129" s="140">
        <v>1.49</v>
      </c>
    </row>
    <row r="130" spans="53:55">
      <c r="BA130" s="140">
        <v>2020.97657673</v>
      </c>
      <c r="BB130" s="140">
        <v>-3.91</v>
      </c>
      <c r="BC130" s="140">
        <v>1.1200000000000001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8 D A A B Q S w M E F A A A C A g A D Z 7 3 W G n e p Y S j A A A A 9 g A A A B I A A A B D b 2 5 m a W c v U G F j a 2 F n Z S 5 4 b W y F T z 0 O g j A Y v Q r p T l u q M Y Z 8 l M F V E h O i c W 2 w Q i N 8 G F o s d 3 P w S F 5 B j K J u D m 9 4 f 8 l 7 9 + s N 0 q G p g 4 v u r G k x I R H l J N B Y t A e D Z U J 6 d w y X J J W w U c V J l T o Y w 2 j j w Z q E V M 6 d Y 8 a 8 9 9 T P a N u V T H A e s X 2 2 z o t K N y o 0 a J 3 C Q p N P 6 / C / R S T s X m O k o J G Y j 1 h Q D m w S I T P 4 D Y h x 7 9 P 9 E W H V 1 6 7 v t N Q Y b n N g E w X 2 / i A f U E s D B B Q A A A g I A A 2 e 9 1 j 9 f Y J c H g E A A N I B A A A T A A A A R m 9 y b X V s Y X M v U 2 V j d G l v b j E u b X W Q z U v D Q B D F 7 4 H + D 8 N 6 S S E k i O K l e J C U o g W r k n o Q k T J J x i a w H z K 7 q d T S / 9 2 J K R b 8 O G X n v c l 7 v 1 1 P V W i d h W L 4 n k 5 G 0 S j y D T L V Y J w N j d 6 u c E O M a / J w C Z p C B F C 4 j i u S M f e b d O q q z p A N 8 a z V l O b y j w w + V t m j J / Z Z i Y y h K V H j h 8 + m 7 t 1 q h 7 X P f m a n l d + o c Q L P U 9 K t a Q O x x K t E J Z A 7 3 R n b l 5 8 l 8 N C 5 Q E X Y 6 r 7 9 O K Q L Z + l l n A j b i b p n Z 8 S o o S G s B U H J 6 h J L 2 T o 4 1 4 M e D 9 e Q z o N + p X V R C S j 3 Z Y G 7 7 8 S 8 Q b u W w O o L B c L 2 j Y 6 h S 0 b r X x 2 b A X Q p p o / / o E h g t 1 N P h C y n G x s u z t N + d S + y u u 0 f 4 7 c 8 n 8 1 X + d 0 i F 6 e v B N u Z k n i / H 0 e t / Z d r 8 g l Q S w M E F A A A C A g A D Z 7 3 W A / K 6 a u k A A A A 6 Q A A A B M A A A B b Q 2 9 u d G V u d F 9 U e X B l c 1 0 u e G 1 s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E C F A M U A A A I C A A N n v d Y a d 6 l h K M A A A D 2 A A A A E g A A A A A A A A A A A A A A p A E A A A A A Q 2 9 u Z m l n L 1 B h Y 2 t h Z 2 U u e G 1 s U E s B A h Q D F A A A C A g A D Z 7 3 W P 1 9 g l w e A Q A A 0 g E A A B M A A A A A A A A A A A A A A K Q B 0 w A A A E Z v c m 1 1 b G F z L 1 N l Y 3 R p b 2 4 x L m 1 Q S w E C F A M U A A A I C A A N n v d Y D 8 r p q 6 Q A A A D p A A A A E w A A A A A A A A A A A A A A p A E i A g A A W 0 N v b n R l b n R f V H l w Z X N d L n h t b F B L B Q Y A A A A A A w A D A M I A A A D 3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C g A A A A A A A O Q J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9 u d G h s e V 9 h d m V y Y W d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E 4 O T Y 4 O T A x L W J i O D Y t N D c z Z S 1 i O D k 3 L T A 1 Z D V h Z T c 2 N z F h Z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b 2 5 0 a G x 5 X 2 F 2 Z X J h Z 2 V z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N b 2 5 0 a C Z x d W 9 0 O y w m c X V v d D t K R k p f Q 0 9 O Q y Z x d W 9 0 O 1 0 i I C 8 + P E V u d H J 5 I F R 5 c G U 9 I k Z p b G x D b 2 x 1 b W 5 U e X B l c y I g V m F s d W U 9 I n N B d 0 1 G I i A v P j x F b n R y e S B U e X B l P S J G a W x s T G F z d F V w Z G F 0 Z W Q i I F Z h b H V l P S J k M j A y N C 0 w M S 0 y O F Q x M z o 0 M T o 1 O S 4 w O T Y 4 M z M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Q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9 u d G h s e V 9 h d m V y Y W d l c y 9 B d X R v U m V t b 3 Z l Z E N v b H V t b n M x L n t Z Z W F y L D B 9 J n F 1 b 3 Q 7 L C Z x d W 9 0 O 1 N l Y 3 R p b 2 4 x L 2 1 v b n R o b H l f Y X Z l c m F n Z X M v Q X V 0 b 1 J l b W 9 2 Z W R D b 2 x 1 b W 5 z M S 5 7 T W 9 u d G g s M X 0 m c X V v d D s s J n F 1 b 3 Q 7 U 2 V j d G l v b j E v b W 9 u d G h s e V 9 h d m V y Y W d l c y 9 B d X R v U m V t b 3 Z l Z E N v b H V t b n M x L n t K R k p f Q 0 9 O Q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t b 2 5 0 a G x 5 X 2 F 2 Z X J h Z 2 V z L 0 F 1 d G 9 S Z W 1 v d m V k Q 2 9 s d W 1 u c z E u e 1 l l Y X I s M H 0 m c X V v d D s s J n F 1 b 3 Q 7 U 2 V j d G l v b j E v b W 9 u d G h s e V 9 h d m V y Y W d l c y 9 B d X R v U m V t b 3 Z l Z E N v b H V t b n M x L n t N b 2 5 0 a C w x f S Z x d W 9 0 O y w m c X V v d D t T Z W N 0 a W 9 u M S 9 t b 2 5 0 a G x 5 X 2 F 2 Z X J h Z 2 V z L 0 F 1 d G 9 S Z W 1 v d m V k Q 2 9 s d W 1 u c z E u e 0 p G S l 9 D T 0 5 D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2 5 0 a G x 5 X 2 F 2 Z X J h Z 2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v b n R o b H l f Y X Z l c m F n Z X M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9 u d G h s e V 9 h d m V y Y W d l c y 9 D a G F u Z 2 V k J T I w Y 2 9 s d W 1 u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P w C A A A w g g L 4 B g k q h k i G 9 w 0 B B w O g g g L p M I I C 5 Q I B A D G C A m A w g g J c A g E A M E Q w N z E 1 M D M G A 1 U E A x M s T W l j c m 9 z b 2 Z 0 L k 9 m Z m l j Z S 5 F e G N l b C 5 Q c m 9 0 Z W N 0 Z W R E Y X R h U 2 V y d m l j Z X M C C Q C v 9 y z H x L 1 p A z A N B g k q h k i G 9 w 0 B A Q E F A A S C A g A o M H p q e 7 7 q G o D z X Y x L P N K F 0 v U e L 6 x 1 x G D k Q I / Y P 3 v 2 T x o / i w 6 n u P S 8 t 6 L 4 2 + M T x 1 0 j I f / y W r / u z J c P y A E o 7 r e 2 b F q F q M D o L I s 8 A 7 4 g Q K 5 e A a s I B E + s a K g 6 5 i q i G W Q S U x f Z z U Z A 7 K 0 O 3 u 1 e G R 4 x Y q i T L + C 1 R a f R u 9 c E / K B X h p a C q Y v o 0 q R v F k M d 7 n 1 r p Y k K J Y y r k Q V E r z L W G S Z i t S Y 4 Z T Z I 0 D 0 + 8 k z 6 0 a 3 P a w i N M Y G X s 7 E t S q 8 A m / L 9 V G w Z W d 9 J + z 3 g J I H L f 2 v i t l v K U h P t C i 6 3 x A 7 w U F B G 4 Z y 1 m D + 6 o A d L 2 u R W L 6 M 1 S h s 6 5 b r S j F l s d 9 7 s o X N T i A A 9 T J 3 0 E i e M O J w E 9 x Z 5 Z A x V S u A 5 5 J N W d A / C F 8 T A A i y 4 c B q P M H j P D 5 / F Q p E W W 9 h g D H 2 y 1 Q T b N g / x M U f v k x t n K 6 9 H i m I z R T A h c U / e + r Z e e z + p 9 6 R C 9 c N A + s N 9 D 6 f S p o 5 R n c y / v M p i B s q x G H 2 J l b O B e F 9 W 0 o t L D y h U w U A A 9 h Z 1 z O K K m o z M L k 6 h A 1 j K m 6 E i B Z V j 1 o g 2 7 k A + w c j Z w G o 7 c V O V U 0 3 5 k 0 D 5 l H / r O E 2 f t V C p Z x Z 6 m l n x o 9 B e H H 9 g C w A A 3 5 D U G K d t q u / P U T e r 4 h r A S 4 r s x E f k B d O h x / x s i C g H r E Y y x H b i C B R t k 3 x h t e 1 I o l z e k s l 5 Y u v I y 5 i f r q B e K A a T i 6 n r P D Q 7 x a U 3 5 1 G K 7 C f I 4 j B 8 B g k q h k i G 9 w 0 B B w E w H Q Y J Y I Z I A W U D B A E q B B C J Z i A t e I I + 1 2 I y P t X T 8 o 5 D g F C F R b g m 6 a q T / d t W c K y 0 v f A C L V n 2 2 7 x Z b a f 5 Q g P s E S 6 8 S K 4 q w m D Y R S / P S W w b a Y G 4 t m j Q s 5 h L A w d Q j L h a 0 6 K j 4 P T m G y + t w U l K h 6 V r y t x a y b B H d A = = < / D a t a M a s h u p > 
</file>

<file path=customXml/itemProps1.xml><?xml version="1.0" encoding="utf-8"?>
<ds:datastoreItem xmlns:ds="http://schemas.openxmlformats.org/officeDocument/2006/customXml" ds:itemID="{64B7046A-BF5F-744B-8404-5F8C4116E0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CO2</vt:lpstr>
      <vt:lpstr>Cfoss</vt:lpstr>
      <vt:lpstr>Tree-ring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Baráth Balázs Áron</dc:creator>
  <cp:lastModifiedBy>Baráth Balázs Áron</cp:lastModifiedBy>
  <dcterms:created xsi:type="dcterms:W3CDTF">2024-01-05T13:30:01Z</dcterms:created>
  <dcterms:modified xsi:type="dcterms:W3CDTF">2024-07-23T19:23:51Z</dcterms:modified>
</cp:coreProperties>
</file>