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ettreynolds/Documents/PullumSymposium/"/>
    </mc:Choice>
  </mc:AlternateContent>
  <xr:revisionPtr revIDLastSave="0" documentId="13_ncr:1_{4E80640F-0E91-384B-9E89-DE2388C83123}" xr6:coauthVersionLast="47" xr6:coauthVersionMax="47" xr10:uidLastSave="{00000000-0000-0000-0000-000000000000}"/>
  <bookViews>
    <workbookView xWindow="18420" yWindow="500" windowWidth="31340" windowHeight="17520" firstSheet="4" activeTab="13" xr2:uid="{6422912B-E95D-2545-8570-9957CBBC683A}"/>
  </bookViews>
  <sheets>
    <sheet name="WPM" sheetId="1" r:id="rId1"/>
    <sheet name="Counts" sheetId="2" r:id="rId2"/>
    <sheet name="no" sheetId="5" r:id="rId3"/>
    <sheet name="Pseudo-random group members" sheetId="3" r:id="rId4"/>
    <sheet name="most-less table" sheetId="4" r:id="rId5"/>
    <sheet name="Selected group members" sheetId="6" r:id="rId6"/>
    <sheet name="selected PMI only" sheetId="17" r:id="rId7"/>
    <sheet name="summary tables" sheetId="7" r:id="rId8"/>
    <sheet name="AdvPs" sheetId="8" r:id="rId9"/>
    <sheet name="AdvP table" sheetId="15" r:id="rId10"/>
    <sheet name="PPs" sheetId="13" r:id="rId11"/>
    <sheet name="PPs table" sheetId="16" r:id="rId12"/>
    <sheet name="AdvP modifiers" sheetId="11" r:id="rId13"/>
    <sheet name="AdvPs mod table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4" l="1"/>
  <c r="L3" i="16"/>
  <c r="L2" i="15"/>
  <c r="K17" i="7"/>
  <c r="AH5" i="11"/>
  <c r="AC5" i="11"/>
  <c r="AD5" i="11"/>
  <c r="Z5" i="11"/>
  <c r="Y5" i="11"/>
  <c r="E4" i="14"/>
  <c r="D4" i="14"/>
  <c r="C4" i="14"/>
  <c r="H4" i="14"/>
  <c r="I4" i="14"/>
  <c r="BI4" i="8"/>
  <c r="BE4" i="8"/>
  <c r="AZ4" i="8"/>
  <c r="BA4" i="8" s="1"/>
  <c r="AV4" i="8"/>
  <c r="AW4" i="8" s="1"/>
  <c r="AU4" i="8"/>
  <c r="H3" i="15"/>
  <c r="H4" i="15"/>
  <c r="H5" i="15"/>
  <c r="H6" i="15"/>
  <c r="H7" i="15"/>
  <c r="H2" i="15"/>
  <c r="BJ4" i="8"/>
  <c r="BF4" i="8"/>
  <c r="BD4" i="8"/>
  <c r="AR4" i="8"/>
  <c r="AS4" i="8" s="1"/>
  <c r="AM4" i="8"/>
  <c r="AI4" i="8"/>
  <c r="AO4" i="8"/>
  <c r="AN4" i="8"/>
  <c r="AJ4" i="8"/>
  <c r="D4" i="8"/>
  <c r="E4" i="8" s="1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C6" i="7"/>
  <c r="D6" i="7"/>
  <c r="BZ23" i="6"/>
  <c r="BX23" i="6"/>
  <c r="BY23" i="6"/>
  <c r="BO23" i="6"/>
  <c r="BN23" i="6"/>
  <c r="BI23" i="6"/>
  <c r="BK23" i="6" s="1"/>
  <c r="K23" i="6"/>
  <c r="L23" i="6" s="1"/>
  <c r="F23" i="6"/>
  <c r="H23" i="6" s="1"/>
  <c r="D23" i="6"/>
  <c r="W23" i="6" s="1"/>
  <c r="C23" i="6"/>
  <c r="BU23" i="6" s="1"/>
  <c r="B23" i="6"/>
  <c r="AL23" i="6" s="1"/>
  <c r="BT23" i="6"/>
  <c r="BS23" i="6"/>
  <c r="BF23" i="6"/>
  <c r="AV23" i="6"/>
  <c r="AQ23" i="6"/>
  <c r="AG23" i="6"/>
  <c r="AB23" i="6"/>
  <c r="P23" i="6"/>
  <c r="R23" i="6" s="1"/>
  <c r="J23" i="6"/>
  <c r="O23" i="6"/>
  <c r="T23" i="6"/>
  <c r="Y23" i="6"/>
  <c r="AD23" i="6"/>
  <c r="AI23" i="6"/>
  <c r="AN23" i="6"/>
  <c r="AS23" i="6"/>
  <c r="AX23" i="6"/>
  <c r="BC23" i="6"/>
  <c r="BH23" i="6"/>
  <c r="BM23" i="6"/>
  <c r="BR23" i="6"/>
  <c r="BW23" i="6"/>
  <c r="M5" i="11"/>
  <c r="K5" i="11"/>
  <c r="G5" i="11"/>
  <c r="AI5" i="11"/>
  <c r="AI6" i="11"/>
  <c r="AI7" i="11"/>
  <c r="AE5" i="11"/>
  <c r="AE6" i="11"/>
  <c r="AE7" i="11"/>
  <c r="AA5" i="11"/>
  <c r="G4" i="14" s="1"/>
  <c r="AA6" i="11"/>
  <c r="AA7" i="11"/>
  <c r="V5" i="11"/>
  <c r="V6" i="11"/>
  <c r="W6" i="11"/>
  <c r="V7" i="11"/>
  <c r="W7" i="11" s="1"/>
  <c r="R5" i="11"/>
  <c r="W5" i="11" s="1"/>
  <c r="F4" i="14" s="1"/>
  <c r="R6" i="11"/>
  <c r="R7" i="11"/>
  <c r="N5" i="11"/>
  <c r="N6" i="11"/>
  <c r="N7" i="11"/>
  <c r="J5" i="11"/>
  <c r="J6" i="11"/>
  <c r="J7" i="11"/>
  <c r="F5" i="11"/>
  <c r="F6" i="11"/>
  <c r="F7" i="11"/>
  <c r="E5" i="11"/>
  <c r="D5" i="11"/>
  <c r="C5" i="11"/>
  <c r="C7" i="11"/>
  <c r="G7" i="11"/>
  <c r="K7" i="11"/>
  <c r="O7" i="11"/>
  <c r="S7" i="11"/>
  <c r="X7" i="11"/>
  <c r="AB7" i="11"/>
  <c r="AF7" i="11"/>
  <c r="T9" i="11"/>
  <c r="S14" i="11"/>
  <c r="V13" i="11"/>
  <c r="S13" i="11"/>
  <c r="V12" i="11"/>
  <c r="S12" i="11"/>
  <c r="V11" i="11"/>
  <c r="W11" i="11" s="1"/>
  <c r="F8" i="14" s="1"/>
  <c r="S11" i="11"/>
  <c r="V10" i="11"/>
  <c r="S10" i="11"/>
  <c r="S9" i="11"/>
  <c r="V8" i="11"/>
  <c r="W8" i="11" s="1"/>
  <c r="F5" i="14" s="1"/>
  <c r="S8" i="11"/>
  <c r="S6" i="11"/>
  <c r="V4" i="11"/>
  <c r="W4" i="11" s="1"/>
  <c r="S4" i="11"/>
  <c r="V3" i="11"/>
  <c r="S3" i="11"/>
  <c r="V2" i="11"/>
  <c r="W2" i="11" s="1"/>
  <c r="F2" i="14" s="1"/>
  <c r="S2" i="11"/>
  <c r="G6" i="15"/>
  <c r="AP2" i="8"/>
  <c r="G2" i="15" s="1"/>
  <c r="BC5" i="8"/>
  <c r="I5" i="15" s="1"/>
  <c r="AP6" i="8"/>
  <c r="AP5" i="8"/>
  <c r="G5" i="15" s="1"/>
  <c r="AG7" i="8"/>
  <c r="F7" i="15" s="1"/>
  <c r="AG6" i="8"/>
  <c r="F6" i="15" s="1"/>
  <c r="AT4" i="8"/>
  <c r="H2" i="8"/>
  <c r="J2" i="8" s="1"/>
  <c r="BK6" i="8"/>
  <c r="BH6" i="8"/>
  <c r="BK5" i="8"/>
  <c r="BL5" i="8" s="1"/>
  <c r="J5" i="15" s="1"/>
  <c r="BH5" i="8"/>
  <c r="BK4" i="8"/>
  <c r="BH4" i="8"/>
  <c r="BK3" i="8"/>
  <c r="BH3" i="8"/>
  <c r="BK2" i="8"/>
  <c r="BL2" i="8" s="1"/>
  <c r="J2" i="15" s="1"/>
  <c r="BH2" i="8"/>
  <c r="BB6" i="8"/>
  <c r="BC6" i="8" s="1"/>
  <c r="I6" i="15" s="1"/>
  <c r="AY6" i="8"/>
  <c r="BB5" i="8"/>
  <c r="AY5" i="8"/>
  <c r="BB4" i="8"/>
  <c r="AY4" i="8"/>
  <c r="BB3" i="8"/>
  <c r="BC3" i="8" s="1"/>
  <c r="I3" i="15" s="1"/>
  <c r="AY3" i="8"/>
  <c r="BB2" i="8"/>
  <c r="BC2" i="8" s="1"/>
  <c r="I2" i="15" s="1"/>
  <c r="AY2" i="8"/>
  <c r="AO6" i="8"/>
  <c r="AL6" i="8"/>
  <c r="AO5" i="8"/>
  <c r="AL5" i="8"/>
  <c r="AL4" i="8"/>
  <c r="AO3" i="8"/>
  <c r="AP3" i="8" s="1"/>
  <c r="G3" i="15" s="1"/>
  <c r="AL3" i="8"/>
  <c r="AO2" i="8"/>
  <c r="AL2" i="8"/>
  <c r="AF6" i="8"/>
  <c r="AC6" i="8"/>
  <c r="AF5" i="8"/>
  <c r="AG5" i="8" s="1"/>
  <c r="F5" i="15" s="1"/>
  <c r="AC5" i="8"/>
  <c r="AF4" i="8"/>
  <c r="AC4" i="8"/>
  <c r="AF3" i="8"/>
  <c r="AG3" i="8" s="1"/>
  <c r="F3" i="15" s="1"/>
  <c r="AC3" i="8"/>
  <c r="AF2" i="8"/>
  <c r="AG2" i="8" s="1"/>
  <c r="F2" i="15" s="1"/>
  <c r="AC2" i="8"/>
  <c r="S6" i="8"/>
  <c r="P6" i="8"/>
  <c r="S5" i="8"/>
  <c r="P5" i="8"/>
  <c r="S4" i="8"/>
  <c r="P4" i="8"/>
  <c r="S3" i="8"/>
  <c r="P3" i="8"/>
  <c r="S2" i="8"/>
  <c r="P2" i="8"/>
  <c r="G3" i="8"/>
  <c r="G4" i="8"/>
  <c r="G5" i="8"/>
  <c r="G6" i="8"/>
  <c r="G2" i="8"/>
  <c r="J9" i="8"/>
  <c r="J6" i="8"/>
  <c r="J5" i="8"/>
  <c r="J4" i="8"/>
  <c r="J3" i="8"/>
  <c r="BG4" i="8"/>
  <c r="B3" i="16"/>
  <c r="C3" i="16"/>
  <c r="D3" i="16"/>
  <c r="E3" i="16"/>
  <c r="F3" i="16"/>
  <c r="G3" i="16"/>
  <c r="H3" i="16"/>
  <c r="I3" i="16"/>
  <c r="J3" i="16"/>
  <c r="B4" i="16"/>
  <c r="C4" i="16"/>
  <c r="D4" i="16"/>
  <c r="E4" i="16"/>
  <c r="F4" i="16"/>
  <c r="G4" i="16"/>
  <c r="H4" i="16"/>
  <c r="I4" i="16"/>
  <c r="J4" i="16"/>
  <c r="B5" i="16"/>
  <c r="C5" i="16"/>
  <c r="D5" i="16"/>
  <c r="E5" i="16"/>
  <c r="F5" i="16"/>
  <c r="G5" i="16"/>
  <c r="H5" i="16"/>
  <c r="I5" i="16"/>
  <c r="J5" i="16"/>
  <c r="B6" i="16"/>
  <c r="C6" i="16"/>
  <c r="D6" i="16"/>
  <c r="E6" i="16"/>
  <c r="F6" i="16"/>
  <c r="G6" i="16"/>
  <c r="H6" i="16"/>
  <c r="I6" i="16"/>
  <c r="J6" i="16"/>
  <c r="B7" i="16"/>
  <c r="C7" i="16"/>
  <c r="D7" i="16"/>
  <c r="E7" i="16"/>
  <c r="F7" i="16"/>
  <c r="G7" i="16"/>
  <c r="H7" i="16"/>
  <c r="I7" i="16"/>
  <c r="J7" i="16"/>
  <c r="B8" i="16"/>
  <c r="C8" i="16"/>
  <c r="D8" i="16"/>
  <c r="E8" i="16"/>
  <c r="F8" i="16"/>
  <c r="G8" i="16"/>
  <c r="H8" i="16"/>
  <c r="I8" i="16"/>
  <c r="J8" i="16"/>
  <c r="G2" i="16"/>
  <c r="J2" i="16"/>
  <c r="C2" i="16"/>
  <c r="AO29" i="6"/>
  <c r="AP29" i="6" s="1"/>
  <c r="BZ3" i="6"/>
  <c r="BZ4" i="6"/>
  <c r="BZ5" i="6"/>
  <c r="BZ6" i="6"/>
  <c r="BZ7" i="6"/>
  <c r="BZ8" i="6"/>
  <c r="BZ9" i="6"/>
  <c r="BZ10" i="6"/>
  <c r="BZ11" i="6"/>
  <c r="BZ12" i="6"/>
  <c r="BZ13" i="6"/>
  <c r="BZ14" i="6"/>
  <c r="BZ15" i="6"/>
  <c r="BZ16" i="6"/>
  <c r="BZ17" i="6"/>
  <c r="BZ18" i="6"/>
  <c r="BZ19" i="6"/>
  <c r="BZ20" i="6"/>
  <c r="BZ21" i="6"/>
  <c r="BZ22" i="6"/>
  <c r="BZ24" i="6"/>
  <c r="BZ25" i="6"/>
  <c r="BZ26" i="6"/>
  <c r="BZ27" i="6"/>
  <c r="BZ28" i="6"/>
  <c r="BZ29" i="6"/>
  <c r="BZ30" i="6"/>
  <c r="BZ31" i="6"/>
  <c r="BZ32" i="6"/>
  <c r="BZ33" i="6"/>
  <c r="BZ34" i="6"/>
  <c r="BZ35" i="6"/>
  <c r="BZ36" i="6"/>
  <c r="BZ37" i="6"/>
  <c r="BZ38" i="6"/>
  <c r="BZ39" i="6"/>
  <c r="BZ40" i="6"/>
  <c r="BZ41" i="6"/>
  <c r="BZ2" i="6"/>
  <c r="BU3" i="6"/>
  <c r="BU4" i="6"/>
  <c r="BU5" i="6"/>
  <c r="BU6" i="6"/>
  <c r="BU7" i="6"/>
  <c r="BU8" i="6"/>
  <c r="BU9" i="6"/>
  <c r="BU10" i="6"/>
  <c r="BU11" i="6"/>
  <c r="BU12" i="6"/>
  <c r="BU13" i="6"/>
  <c r="BU14" i="6"/>
  <c r="BU15" i="6"/>
  <c r="BU16" i="6"/>
  <c r="BU17" i="6"/>
  <c r="BU18" i="6"/>
  <c r="BU19" i="6"/>
  <c r="BU20" i="6"/>
  <c r="BU21" i="6"/>
  <c r="BU22" i="6"/>
  <c r="BU24" i="6"/>
  <c r="BU25" i="6"/>
  <c r="BU26" i="6"/>
  <c r="BU27" i="6"/>
  <c r="BU28" i="6"/>
  <c r="BU29" i="6"/>
  <c r="BU30" i="6"/>
  <c r="BU31" i="6"/>
  <c r="BU32" i="6"/>
  <c r="BU33" i="6"/>
  <c r="BU34" i="6"/>
  <c r="BU35" i="6"/>
  <c r="BU36" i="6"/>
  <c r="BU37" i="6"/>
  <c r="BU38" i="6"/>
  <c r="BU39" i="6"/>
  <c r="BU40" i="6"/>
  <c r="BU41" i="6"/>
  <c r="BU2" i="6"/>
  <c r="BP3" i="6"/>
  <c r="BP4" i="6"/>
  <c r="BP5" i="6"/>
  <c r="BP6" i="6"/>
  <c r="BP7" i="6"/>
  <c r="BP8" i="6"/>
  <c r="BP9" i="6"/>
  <c r="BP10" i="6"/>
  <c r="BP11" i="6"/>
  <c r="BP12" i="6"/>
  <c r="BP13" i="6"/>
  <c r="BP14" i="6"/>
  <c r="BP15" i="6"/>
  <c r="BP16" i="6"/>
  <c r="BP17" i="6"/>
  <c r="BP18" i="6"/>
  <c r="BP19" i="6"/>
  <c r="BP20" i="6"/>
  <c r="BP21" i="6"/>
  <c r="BP22" i="6"/>
  <c r="BP24" i="6"/>
  <c r="BP25" i="6"/>
  <c r="BP26" i="6"/>
  <c r="BP27" i="6"/>
  <c r="BP28" i="6"/>
  <c r="BP29" i="6"/>
  <c r="BP30" i="6"/>
  <c r="BP31" i="6"/>
  <c r="BP32" i="6"/>
  <c r="BP33" i="6"/>
  <c r="BP34" i="6"/>
  <c r="BP35" i="6"/>
  <c r="BP36" i="6"/>
  <c r="BP37" i="6"/>
  <c r="BP38" i="6"/>
  <c r="BP39" i="6"/>
  <c r="BP40" i="6"/>
  <c r="BP41" i="6"/>
  <c r="BP2" i="6"/>
  <c r="BK3" i="6"/>
  <c r="BK4" i="6"/>
  <c r="BK5" i="6"/>
  <c r="BK6" i="6"/>
  <c r="BK7" i="6"/>
  <c r="BK8" i="6"/>
  <c r="BK9" i="6"/>
  <c r="BK10" i="6"/>
  <c r="BK11" i="6"/>
  <c r="BK12" i="6"/>
  <c r="BK13" i="6"/>
  <c r="BK14" i="6"/>
  <c r="BK15" i="6"/>
  <c r="BK16" i="6"/>
  <c r="BK17" i="6"/>
  <c r="BK18" i="6"/>
  <c r="BK19" i="6"/>
  <c r="BK20" i="6"/>
  <c r="BK21" i="6"/>
  <c r="BK22" i="6"/>
  <c r="BK24" i="6"/>
  <c r="BK25" i="6"/>
  <c r="BK26" i="6"/>
  <c r="BK27" i="6"/>
  <c r="BK28" i="6"/>
  <c r="BK29" i="6"/>
  <c r="BK30" i="6"/>
  <c r="BK31" i="6"/>
  <c r="BK32" i="6"/>
  <c r="BK33" i="6"/>
  <c r="BK34" i="6"/>
  <c r="BK35" i="6"/>
  <c r="BK36" i="6"/>
  <c r="BK37" i="6"/>
  <c r="BK38" i="6"/>
  <c r="BK39" i="6"/>
  <c r="BK40" i="6"/>
  <c r="BK41" i="6"/>
  <c r="BK2" i="6"/>
  <c r="BF3" i="6"/>
  <c r="BF4" i="6"/>
  <c r="BF5" i="6"/>
  <c r="BF6" i="6"/>
  <c r="BF7" i="6"/>
  <c r="BF8" i="6"/>
  <c r="BF9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4" i="6"/>
  <c r="BF25" i="6"/>
  <c r="BF26" i="6"/>
  <c r="BF27" i="6"/>
  <c r="BF28" i="6"/>
  <c r="BF29" i="6"/>
  <c r="BF30" i="6"/>
  <c r="BF31" i="6"/>
  <c r="BF32" i="6"/>
  <c r="BF33" i="6"/>
  <c r="BF34" i="6"/>
  <c r="BF35" i="6"/>
  <c r="BF36" i="6"/>
  <c r="BF37" i="6"/>
  <c r="BF38" i="6"/>
  <c r="BF39" i="6"/>
  <c r="BF40" i="6"/>
  <c r="BF41" i="6"/>
  <c r="BF2" i="6"/>
  <c r="BA3" i="6"/>
  <c r="BA4" i="6"/>
  <c r="BA5" i="6"/>
  <c r="BA6" i="6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4" i="6"/>
  <c r="BA25" i="6"/>
  <c r="BA26" i="6"/>
  <c r="BA27" i="6"/>
  <c r="BA28" i="6"/>
  <c r="BA29" i="6"/>
  <c r="BA30" i="6"/>
  <c r="BA31" i="6"/>
  <c r="BA32" i="6"/>
  <c r="BA33" i="6"/>
  <c r="BA34" i="6"/>
  <c r="BA35" i="6"/>
  <c r="BA36" i="6"/>
  <c r="BA37" i="6"/>
  <c r="BA38" i="6"/>
  <c r="BA39" i="6"/>
  <c r="BA40" i="6"/>
  <c r="BA41" i="6"/>
  <c r="BA2" i="6"/>
  <c r="AV3" i="6"/>
  <c r="AV4" i="6"/>
  <c r="AV5" i="6"/>
  <c r="AV6" i="6"/>
  <c r="AV7" i="6"/>
  <c r="AV8" i="6"/>
  <c r="AV9" i="6"/>
  <c r="AV10" i="6"/>
  <c r="AV11" i="6"/>
  <c r="AV12" i="6"/>
  <c r="AV13" i="6"/>
  <c r="AV14" i="6"/>
  <c r="AV15" i="6"/>
  <c r="AV16" i="6"/>
  <c r="AV17" i="6"/>
  <c r="AV18" i="6"/>
  <c r="AV19" i="6"/>
  <c r="AV20" i="6"/>
  <c r="AV21" i="6"/>
  <c r="AV22" i="6"/>
  <c r="AV24" i="6"/>
  <c r="AV25" i="6"/>
  <c r="AV26" i="6"/>
  <c r="AV27" i="6"/>
  <c r="AV28" i="6"/>
  <c r="AV29" i="6"/>
  <c r="AV30" i="6"/>
  <c r="AV31" i="6"/>
  <c r="AV32" i="6"/>
  <c r="AV33" i="6"/>
  <c r="AV34" i="6"/>
  <c r="AV35" i="6"/>
  <c r="AV36" i="6"/>
  <c r="AV37" i="6"/>
  <c r="AV38" i="6"/>
  <c r="AV39" i="6"/>
  <c r="AV40" i="6"/>
  <c r="AV41" i="6"/>
  <c r="AV2" i="6"/>
  <c r="AQ3" i="6"/>
  <c r="AQ4" i="6"/>
  <c r="AQ5" i="6"/>
  <c r="AQ6" i="6"/>
  <c r="AQ7" i="6"/>
  <c r="AQ8" i="6"/>
  <c r="AQ9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22" i="6"/>
  <c r="AQ24" i="6"/>
  <c r="AQ25" i="6"/>
  <c r="AQ26" i="6"/>
  <c r="AQ27" i="6"/>
  <c r="AQ28" i="6"/>
  <c r="AQ30" i="6"/>
  <c r="AQ31" i="6"/>
  <c r="AQ32" i="6"/>
  <c r="AQ33" i="6"/>
  <c r="AQ34" i="6"/>
  <c r="AQ35" i="6"/>
  <c r="AQ36" i="6"/>
  <c r="AQ37" i="6"/>
  <c r="AQ38" i="6"/>
  <c r="AQ39" i="6"/>
  <c r="AQ40" i="6"/>
  <c r="AQ41" i="6"/>
  <c r="AQ2" i="6"/>
  <c r="AL3" i="6"/>
  <c r="AL4" i="6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4" i="6"/>
  <c r="AL25" i="6"/>
  <c r="AL26" i="6"/>
  <c r="AL27" i="6"/>
  <c r="AL28" i="6"/>
  <c r="AL29" i="6"/>
  <c r="AL30" i="6"/>
  <c r="AL31" i="6"/>
  <c r="AL32" i="6"/>
  <c r="AL33" i="6"/>
  <c r="AL34" i="6"/>
  <c r="AL35" i="6"/>
  <c r="AL36" i="6"/>
  <c r="AL37" i="6"/>
  <c r="AL38" i="6"/>
  <c r="AL39" i="6"/>
  <c r="AL40" i="6"/>
  <c r="AL41" i="6"/>
  <c r="AL2" i="6"/>
  <c r="AG3" i="6"/>
  <c r="AG4" i="6"/>
  <c r="AG5" i="6"/>
  <c r="AG6" i="6"/>
  <c r="AG7" i="6"/>
  <c r="AG8" i="6"/>
  <c r="AG9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2" i="6"/>
  <c r="AB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2" i="6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2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2" i="6"/>
  <c r="BG7" i="8"/>
  <c r="BL7" i="8" s="1"/>
  <c r="J7" i="15" s="1"/>
  <c r="BG6" i="8"/>
  <c r="BL6" i="8" s="1"/>
  <c r="J6" i="15" s="1"/>
  <c r="BG5" i="8"/>
  <c r="BG3" i="8"/>
  <c r="BL3" i="8" s="1"/>
  <c r="J3" i="15" s="1"/>
  <c r="BG2" i="8"/>
  <c r="AX7" i="8"/>
  <c r="BC7" i="8" s="1"/>
  <c r="I7" i="15" s="1"/>
  <c r="AX6" i="8"/>
  <c r="AX5" i="8"/>
  <c r="AX4" i="8"/>
  <c r="AX3" i="8"/>
  <c r="AX2" i="8"/>
  <c r="AT7" i="8"/>
  <c r="AT6" i="8"/>
  <c r="AT5" i="8"/>
  <c r="AT3" i="8"/>
  <c r="AT2" i="8"/>
  <c r="AK7" i="8"/>
  <c r="AP7" i="8" s="1"/>
  <c r="G7" i="15" s="1"/>
  <c r="AK6" i="8"/>
  <c r="AK5" i="8"/>
  <c r="AK3" i="8"/>
  <c r="AK2" i="8"/>
  <c r="AB7" i="8"/>
  <c r="AB6" i="8"/>
  <c r="AB5" i="8"/>
  <c r="AB4" i="8"/>
  <c r="AB3" i="8"/>
  <c r="AB2" i="8"/>
  <c r="X7" i="8"/>
  <c r="E7" i="15" s="1"/>
  <c r="X6" i="8"/>
  <c r="E6" i="15" s="1"/>
  <c r="X5" i="8"/>
  <c r="E5" i="15" s="1"/>
  <c r="X4" i="8"/>
  <c r="E4" i="15" s="1"/>
  <c r="X3" i="8"/>
  <c r="E3" i="15" s="1"/>
  <c r="X2" i="8"/>
  <c r="E2" i="15" s="1"/>
  <c r="O7" i="8"/>
  <c r="O6" i="8"/>
  <c r="O5" i="8"/>
  <c r="O4" i="8"/>
  <c r="O3" i="8"/>
  <c r="O2" i="8"/>
  <c r="F3" i="8"/>
  <c r="F4" i="8"/>
  <c r="F5" i="8"/>
  <c r="F6" i="8"/>
  <c r="F7" i="8"/>
  <c r="F2" i="8"/>
  <c r="AT8" i="13"/>
  <c r="AT7" i="13"/>
  <c r="AT6" i="13"/>
  <c r="AT5" i="13"/>
  <c r="AT4" i="13"/>
  <c r="AT3" i="13"/>
  <c r="AT2" i="13"/>
  <c r="AO8" i="13"/>
  <c r="AO7" i="13"/>
  <c r="AO6" i="13"/>
  <c r="AO5" i="13"/>
  <c r="AP5" i="13" s="1"/>
  <c r="AO4" i="13"/>
  <c r="AO3" i="13"/>
  <c r="AO2" i="13"/>
  <c r="AJ8" i="13"/>
  <c r="AJ7" i="13"/>
  <c r="AJ6" i="13"/>
  <c r="AJ5" i="13"/>
  <c r="AJ4" i="13"/>
  <c r="AK4" i="13" s="1"/>
  <c r="AJ3" i="13"/>
  <c r="AJ2" i="13"/>
  <c r="AK2" i="13" s="1"/>
  <c r="AE8" i="13"/>
  <c r="AE7" i="13"/>
  <c r="AE6" i="13"/>
  <c r="AE5" i="13"/>
  <c r="AE4" i="13"/>
  <c r="AE3" i="13"/>
  <c r="AE2" i="13"/>
  <c r="Z8" i="13"/>
  <c r="Z7" i="13"/>
  <c r="Z6" i="13"/>
  <c r="Z5" i="13"/>
  <c r="Z4" i="13"/>
  <c r="Z3" i="13"/>
  <c r="Z2" i="13"/>
  <c r="F2" i="16" s="1"/>
  <c r="U8" i="13"/>
  <c r="U7" i="13"/>
  <c r="U6" i="13"/>
  <c r="U5" i="13"/>
  <c r="U4" i="13"/>
  <c r="U3" i="13"/>
  <c r="U2" i="13"/>
  <c r="E2" i="16" s="1"/>
  <c r="P8" i="13"/>
  <c r="P7" i="13"/>
  <c r="P6" i="13"/>
  <c r="P5" i="13"/>
  <c r="Q5" i="13" s="1"/>
  <c r="P4" i="13"/>
  <c r="Q4" i="13" s="1"/>
  <c r="P3" i="13"/>
  <c r="Q3" i="13" s="1"/>
  <c r="P2" i="13"/>
  <c r="Q2" i="13" s="1"/>
  <c r="Q6" i="13"/>
  <c r="Q7" i="13"/>
  <c r="K8" i="13"/>
  <c r="K7" i="13"/>
  <c r="K6" i="13"/>
  <c r="K5" i="13"/>
  <c r="K4" i="13"/>
  <c r="L4" i="13" s="1"/>
  <c r="K3" i="13"/>
  <c r="K2" i="13"/>
  <c r="F3" i="13"/>
  <c r="F4" i="13"/>
  <c r="F5" i="13"/>
  <c r="F6" i="13"/>
  <c r="F7" i="13"/>
  <c r="F8" i="13"/>
  <c r="F2" i="13"/>
  <c r="G5" i="13"/>
  <c r="G3" i="13"/>
  <c r="B2" i="16"/>
  <c r="G6" i="13"/>
  <c r="G8" i="13"/>
  <c r="AI13" i="11"/>
  <c r="I10" i="14" s="1"/>
  <c r="AI12" i="11"/>
  <c r="I9" i="14" s="1"/>
  <c r="AI11" i="11"/>
  <c r="I8" i="14" s="1"/>
  <c r="AI10" i="11"/>
  <c r="I7" i="14" s="1"/>
  <c r="AI8" i="11"/>
  <c r="I5" i="14" s="1"/>
  <c r="AI4" i="11"/>
  <c r="AI3" i="11"/>
  <c r="I3" i="14" s="1"/>
  <c r="AI2" i="11"/>
  <c r="AE13" i="11"/>
  <c r="H10" i="14" s="1"/>
  <c r="AE12" i="11"/>
  <c r="H9" i="14" s="1"/>
  <c r="AE11" i="11"/>
  <c r="H8" i="14" s="1"/>
  <c r="AE10" i="11"/>
  <c r="H7" i="14" s="1"/>
  <c r="AE8" i="11"/>
  <c r="H5" i="14" s="1"/>
  <c r="AE4" i="11"/>
  <c r="AE3" i="11"/>
  <c r="H3" i="14" s="1"/>
  <c r="AE2" i="11"/>
  <c r="H2" i="14" s="1"/>
  <c r="AA13" i="11"/>
  <c r="G10" i="14" s="1"/>
  <c r="AA12" i="11"/>
  <c r="G9" i="14" s="1"/>
  <c r="AA11" i="11"/>
  <c r="G8" i="14" s="1"/>
  <c r="AA10" i="11"/>
  <c r="G7" i="14" s="1"/>
  <c r="AA9" i="11"/>
  <c r="G6" i="14" s="1"/>
  <c r="AA8" i="11"/>
  <c r="G5" i="14" s="1"/>
  <c r="AA4" i="11"/>
  <c r="AA3" i="11"/>
  <c r="G3" i="14" s="1"/>
  <c r="AA2" i="11"/>
  <c r="G2" i="14" s="1"/>
  <c r="R13" i="11"/>
  <c r="W13" i="11" s="1"/>
  <c r="F10" i="14" s="1"/>
  <c r="R12" i="11"/>
  <c r="R11" i="11"/>
  <c r="R10" i="11"/>
  <c r="W10" i="11" s="1"/>
  <c r="F7" i="14" s="1"/>
  <c r="R8" i="11"/>
  <c r="R4" i="11"/>
  <c r="R3" i="11"/>
  <c r="R2" i="11"/>
  <c r="N13" i="11"/>
  <c r="E10" i="14" s="1"/>
  <c r="N12" i="11"/>
  <c r="E9" i="14" s="1"/>
  <c r="N11" i="11"/>
  <c r="N4" i="11"/>
  <c r="N2" i="11"/>
  <c r="E2" i="14" s="1"/>
  <c r="J13" i="11"/>
  <c r="D10" i="14" s="1"/>
  <c r="J12" i="11"/>
  <c r="D9" i="14" s="1"/>
  <c r="J11" i="11"/>
  <c r="D8" i="14" s="1"/>
  <c r="J10" i="11"/>
  <c r="D7" i="14" s="1"/>
  <c r="J9" i="11"/>
  <c r="D6" i="14" s="1"/>
  <c r="J8" i="11"/>
  <c r="D5" i="14" s="1"/>
  <c r="J4" i="11"/>
  <c r="J3" i="11"/>
  <c r="D3" i="14" s="1"/>
  <c r="J2" i="11"/>
  <c r="D2" i="14" s="1"/>
  <c r="F4" i="11"/>
  <c r="F8" i="11"/>
  <c r="C5" i="14" s="1"/>
  <c r="F9" i="11"/>
  <c r="C6" i="14" s="1"/>
  <c r="F10" i="11"/>
  <c r="C7" i="14" s="1"/>
  <c r="F11" i="11"/>
  <c r="C8" i="14" s="1"/>
  <c r="F12" i="11"/>
  <c r="C9" i="14" s="1"/>
  <c r="F13" i="11"/>
  <c r="C10" i="14" s="1"/>
  <c r="F2" i="11"/>
  <c r="C2" i="14" s="1"/>
  <c r="I2" i="16"/>
  <c r="I1" i="16"/>
  <c r="H1" i="16"/>
  <c r="G1" i="16"/>
  <c r="D1" i="16"/>
  <c r="C1" i="16"/>
  <c r="B1" i="16"/>
  <c r="AD9" i="11"/>
  <c r="AC9" i="11"/>
  <c r="AE9" i="11" s="1"/>
  <c r="H6" i="14" s="1"/>
  <c r="L8" i="11"/>
  <c r="N8" i="11" s="1"/>
  <c r="E5" i="14" s="1"/>
  <c r="U7" i="8"/>
  <c r="I1" i="15"/>
  <c r="J1" i="15"/>
  <c r="H1" i="15"/>
  <c r="E1" i="15"/>
  <c r="D1" i="15"/>
  <c r="C1" i="15"/>
  <c r="I1" i="14"/>
  <c r="H1" i="14"/>
  <c r="G1" i="14"/>
  <c r="D1" i="14"/>
  <c r="C1" i="14"/>
  <c r="D3" i="11"/>
  <c r="E3" i="11" s="1"/>
  <c r="AG9" i="11"/>
  <c r="P9" i="11"/>
  <c r="L9" i="11"/>
  <c r="L10" i="11"/>
  <c r="N10" i="11" s="1"/>
  <c r="E7" i="14" s="1"/>
  <c r="M3" i="11"/>
  <c r="L3" i="11"/>
  <c r="B9" i="11"/>
  <c r="AF14" i="11"/>
  <c r="AB14" i="11"/>
  <c r="X14" i="11"/>
  <c r="O14" i="11"/>
  <c r="K14" i="11"/>
  <c r="C12" i="11"/>
  <c r="G12" i="11"/>
  <c r="K12" i="11"/>
  <c r="O12" i="11"/>
  <c r="X12" i="11"/>
  <c r="AB12" i="11"/>
  <c r="AF12" i="11"/>
  <c r="C11" i="11"/>
  <c r="G11" i="11"/>
  <c r="K11" i="11"/>
  <c r="O11" i="11"/>
  <c r="X11" i="11"/>
  <c r="AB11" i="11"/>
  <c r="AF11" i="11"/>
  <c r="C10" i="11"/>
  <c r="G10" i="11"/>
  <c r="K10" i="11"/>
  <c r="O10" i="11"/>
  <c r="X10" i="11"/>
  <c r="AB10" i="11"/>
  <c r="AF10" i="11"/>
  <c r="AT10" i="13"/>
  <c r="AU10" i="13" s="1"/>
  <c r="AO10" i="13"/>
  <c r="AP10" i="13" s="1"/>
  <c r="AJ10" i="13"/>
  <c r="AK10" i="13" s="1"/>
  <c r="AE10" i="13"/>
  <c r="AF10" i="13" s="1"/>
  <c r="Z10" i="13"/>
  <c r="AA10" i="13" s="1"/>
  <c r="U10" i="13"/>
  <c r="V10" i="13" s="1"/>
  <c r="P10" i="13"/>
  <c r="Q10" i="13" s="1"/>
  <c r="K10" i="13"/>
  <c r="L10" i="13" s="1"/>
  <c r="F10" i="13"/>
  <c r="G10" i="13" s="1"/>
  <c r="AU8" i="13"/>
  <c r="AQ8" i="13"/>
  <c r="AP8" i="13"/>
  <c r="AL8" i="13"/>
  <c r="AK8" i="13"/>
  <c r="AG8" i="13"/>
  <c r="AF8" i="13"/>
  <c r="AB8" i="13"/>
  <c r="AA8" i="13"/>
  <c r="W8" i="13"/>
  <c r="V8" i="13"/>
  <c r="R8" i="13"/>
  <c r="M8" i="13"/>
  <c r="H8" i="13"/>
  <c r="C8" i="13"/>
  <c r="AU7" i="13"/>
  <c r="AQ7" i="13"/>
  <c r="AP7" i="13"/>
  <c r="AL7" i="13"/>
  <c r="AG7" i="13"/>
  <c r="AF7" i="13"/>
  <c r="AB7" i="13"/>
  <c r="AA7" i="13"/>
  <c r="W7" i="13"/>
  <c r="R7" i="13"/>
  <c r="M7" i="13"/>
  <c r="H7" i="13"/>
  <c r="G7" i="13"/>
  <c r="C7" i="13"/>
  <c r="AU6" i="13"/>
  <c r="AQ6" i="13"/>
  <c r="AP6" i="13"/>
  <c r="AL6" i="13"/>
  <c r="AK6" i="13"/>
  <c r="AG6" i="13"/>
  <c r="AF6" i="13"/>
  <c r="AB6" i="13"/>
  <c r="AA6" i="13"/>
  <c r="W6" i="13"/>
  <c r="V6" i="13"/>
  <c r="R6" i="13"/>
  <c r="M6" i="13"/>
  <c r="H6" i="13"/>
  <c r="C6" i="13"/>
  <c r="AU5" i="13"/>
  <c r="AQ5" i="13"/>
  <c r="AL5" i="13"/>
  <c r="AK5" i="13"/>
  <c r="AG5" i="13"/>
  <c r="AB5" i="13"/>
  <c r="AA5" i="13"/>
  <c r="W5" i="13"/>
  <c r="V5" i="13"/>
  <c r="R5" i="13"/>
  <c r="M5" i="13"/>
  <c r="L5" i="13"/>
  <c r="H5" i="13"/>
  <c r="C5" i="13"/>
  <c r="AQ4" i="13"/>
  <c r="AP4" i="13"/>
  <c r="AL4" i="13"/>
  <c r="AG4" i="13"/>
  <c r="AB4" i="13"/>
  <c r="AA4" i="13"/>
  <c r="W4" i="13"/>
  <c r="V4" i="13"/>
  <c r="R4" i="13"/>
  <c r="M4" i="13"/>
  <c r="H4" i="13"/>
  <c r="C4" i="13"/>
  <c r="AU3" i="13"/>
  <c r="AQ3" i="13"/>
  <c r="AP3" i="13"/>
  <c r="AL3" i="13"/>
  <c r="AG3" i="13"/>
  <c r="AF3" i="13"/>
  <c r="AB3" i="13"/>
  <c r="AA3" i="13"/>
  <c r="W3" i="13"/>
  <c r="R3" i="13"/>
  <c r="M3" i="13"/>
  <c r="H3" i="13"/>
  <c r="C3" i="13"/>
  <c r="AT13" i="13"/>
  <c r="AQ2" i="13"/>
  <c r="AL2" i="13"/>
  <c r="AG2" i="13"/>
  <c r="AB2" i="13"/>
  <c r="W2" i="13"/>
  <c r="R2" i="13"/>
  <c r="M2" i="13"/>
  <c r="H2" i="13"/>
  <c r="C2" i="13"/>
  <c r="O13" i="11"/>
  <c r="O9" i="11"/>
  <c r="O8" i="11"/>
  <c r="O6" i="11"/>
  <c r="O4" i="11"/>
  <c r="O3" i="11"/>
  <c r="O2" i="11"/>
  <c r="K13" i="11"/>
  <c r="G13" i="11"/>
  <c r="C13" i="11"/>
  <c r="AB13" i="11"/>
  <c r="AB9" i="11"/>
  <c r="K9" i="11"/>
  <c r="G9" i="11"/>
  <c r="C9" i="11"/>
  <c r="AB8" i="11"/>
  <c r="K8" i="11"/>
  <c r="G8" i="11"/>
  <c r="C8" i="11"/>
  <c r="AB6" i="11"/>
  <c r="K6" i="11"/>
  <c r="G6" i="11"/>
  <c r="C6" i="11"/>
  <c r="AB4" i="11"/>
  <c r="K4" i="11"/>
  <c r="G4" i="11"/>
  <c r="C4" i="11"/>
  <c r="AB3" i="11"/>
  <c r="K3" i="11"/>
  <c r="G3" i="11"/>
  <c r="C3" i="11"/>
  <c r="AB2" i="11"/>
  <c r="K2" i="11"/>
  <c r="G2" i="11"/>
  <c r="C2" i="11"/>
  <c r="X9" i="11"/>
  <c r="X13" i="11"/>
  <c r="X8" i="11"/>
  <c r="X6" i="11"/>
  <c r="X4" i="11"/>
  <c r="X3" i="11"/>
  <c r="X2" i="11"/>
  <c r="AQ3" i="8"/>
  <c r="AQ4" i="8"/>
  <c r="AQ5" i="8"/>
  <c r="AQ6" i="8"/>
  <c r="AQ7" i="8"/>
  <c r="AQ2" i="8"/>
  <c r="L2" i="8"/>
  <c r="C7" i="8"/>
  <c r="L7" i="8"/>
  <c r="Y7" i="8"/>
  <c r="AH7" i="8"/>
  <c r="U3" i="8"/>
  <c r="U4" i="8"/>
  <c r="U5" i="8"/>
  <c r="U6" i="8"/>
  <c r="U2" i="8"/>
  <c r="Y2" i="8"/>
  <c r="AH2" i="8"/>
  <c r="AU2" i="8"/>
  <c r="BD2" i="8"/>
  <c r="L3" i="8"/>
  <c r="Y3" i="8"/>
  <c r="AH3" i="8"/>
  <c r="AU3" i="8"/>
  <c r="BD3" i="8"/>
  <c r="L4" i="8"/>
  <c r="Y4" i="8"/>
  <c r="AH4" i="8"/>
  <c r="L5" i="8"/>
  <c r="Y5" i="8"/>
  <c r="AH5" i="8"/>
  <c r="AU5" i="8"/>
  <c r="BD5" i="8"/>
  <c r="L6" i="8"/>
  <c r="Y6" i="8"/>
  <c r="AH6" i="8"/>
  <c r="AU6" i="8"/>
  <c r="BD6" i="8"/>
  <c r="AU7" i="8"/>
  <c r="BD7" i="8"/>
  <c r="C3" i="8"/>
  <c r="C4" i="8"/>
  <c r="C5" i="8"/>
  <c r="C6" i="8"/>
  <c r="C2" i="8"/>
  <c r="BW3" i="6"/>
  <c r="BW4" i="6"/>
  <c r="BW5" i="6"/>
  <c r="BW6" i="6"/>
  <c r="BW7" i="6"/>
  <c r="BW8" i="6"/>
  <c r="BW9" i="6"/>
  <c r="BW10" i="6"/>
  <c r="BW11" i="6"/>
  <c r="BW12" i="6"/>
  <c r="BW13" i="6"/>
  <c r="BW14" i="6"/>
  <c r="BW15" i="6"/>
  <c r="BW16" i="6"/>
  <c r="BW17" i="6"/>
  <c r="BW18" i="6"/>
  <c r="BW19" i="6"/>
  <c r="BW20" i="6"/>
  <c r="BW21" i="6"/>
  <c r="BW22" i="6"/>
  <c r="BW24" i="6"/>
  <c r="BW25" i="6"/>
  <c r="BW26" i="6"/>
  <c r="BW27" i="6"/>
  <c r="BW28" i="6"/>
  <c r="BW29" i="6"/>
  <c r="BW30" i="6"/>
  <c r="BW31" i="6"/>
  <c r="BW32" i="6"/>
  <c r="BW33" i="6"/>
  <c r="BW34" i="6"/>
  <c r="BW35" i="6"/>
  <c r="BW36" i="6"/>
  <c r="BW37" i="6"/>
  <c r="BW38" i="6"/>
  <c r="BW39" i="6"/>
  <c r="BW40" i="6"/>
  <c r="BW41" i="6"/>
  <c r="BW2" i="6"/>
  <c r="BM3" i="6"/>
  <c r="BM4" i="6"/>
  <c r="BM5" i="6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2" i="6"/>
  <c r="BR3" i="6"/>
  <c r="BR4" i="6"/>
  <c r="BR5" i="6"/>
  <c r="BR6" i="6"/>
  <c r="BR7" i="6"/>
  <c r="BR8" i="6"/>
  <c r="BR9" i="6"/>
  <c r="BR10" i="6"/>
  <c r="BR11" i="6"/>
  <c r="BR12" i="6"/>
  <c r="BR13" i="6"/>
  <c r="BR14" i="6"/>
  <c r="BR15" i="6"/>
  <c r="BR16" i="6"/>
  <c r="BR17" i="6"/>
  <c r="BR18" i="6"/>
  <c r="BR19" i="6"/>
  <c r="BR20" i="6"/>
  <c r="BR21" i="6"/>
  <c r="BR22" i="6"/>
  <c r="BR24" i="6"/>
  <c r="BR25" i="6"/>
  <c r="BR26" i="6"/>
  <c r="BR27" i="6"/>
  <c r="BR28" i="6"/>
  <c r="BR29" i="6"/>
  <c r="BR30" i="6"/>
  <c r="BR31" i="6"/>
  <c r="BR32" i="6"/>
  <c r="BR33" i="6"/>
  <c r="BR34" i="6"/>
  <c r="BR35" i="6"/>
  <c r="BR36" i="6"/>
  <c r="BR37" i="6"/>
  <c r="BR38" i="6"/>
  <c r="BR39" i="6"/>
  <c r="BR40" i="6"/>
  <c r="BR41" i="6"/>
  <c r="BR2" i="6"/>
  <c r="BH7" i="6"/>
  <c r="BH8" i="6"/>
  <c r="BH9" i="6"/>
  <c r="BH10" i="6"/>
  <c r="BH11" i="6"/>
  <c r="BH12" i="6"/>
  <c r="BH13" i="6"/>
  <c r="BH14" i="6"/>
  <c r="BH15" i="6"/>
  <c r="BH16" i="6"/>
  <c r="BH17" i="6"/>
  <c r="BH18" i="6"/>
  <c r="BH19" i="6"/>
  <c r="BH20" i="6"/>
  <c r="BH21" i="6"/>
  <c r="BH22" i="6"/>
  <c r="BH24" i="6"/>
  <c r="BH25" i="6"/>
  <c r="BH26" i="6"/>
  <c r="BH27" i="6"/>
  <c r="BH28" i="6"/>
  <c r="BH29" i="6"/>
  <c r="BH30" i="6"/>
  <c r="BH31" i="6"/>
  <c r="BH32" i="6"/>
  <c r="BH33" i="6"/>
  <c r="BH34" i="6"/>
  <c r="BH35" i="6"/>
  <c r="BH36" i="6"/>
  <c r="BH37" i="6"/>
  <c r="BH38" i="6"/>
  <c r="BH39" i="6"/>
  <c r="BH40" i="6"/>
  <c r="BH41" i="6"/>
  <c r="BH3" i="6"/>
  <c r="BH4" i="6"/>
  <c r="BH5" i="6"/>
  <c r="BH6" i="6"/>
  <c r="BC3" i="6"/>
  <c r="BC4" i="6"/>
  <c r="BC5" i="6"/>
  <c r="BC6" i="6"/>
  <c r="BC7" i="6"/>
  <c r="BC8" i="6"/>
  <c r="BC9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22" i="6"/>
  <c r="BC24" i="6"/>
  <c r="BC25" i="6"/>
  <c r="BC26" i="6"/>
  <c r="BC27" i="6"/>
  <c r="BC28" i="6"/>
  <c r="BC29" i="6"/>
  <c r="BC30" i="6"/>
  <c r="BC31" i="6"/>
  <c r="BC32" i="6"/>
  <c r="BC33" i="6"/>
  <c r="BC34" i="6"/>
  <c r="BC35" i="6"/>
  <c r="BC36" i="6"/>
  <c r="BC37" i="6"/>
  <c r="BC38" i="6"/>
  <c r="BC39" i="6"/>
  <c r="BC40" i="6"/>
  <c r="BC41" i="6"/>
  <c r="BH2" i="6"/>
  <c r="BC2" i="6"/>
  <c r="AX3" i="6"/>
  <c r="AX4" i="6"/>
  <c r="AX5" i="6"/>
  <c r="AX6" i="6"/>
  <c r="AX7" i="6"/>
  <c r="AX8" i="6"/>
  <c r="AX9" i="6"/>
  <c r="AX10" i="6"/>
  <c r="AX11" i="6"/>
  <c r="AX12" i="6"/>
  <c r="AX13" i="6"/>
  <c r="AX14" i="6"/>
  <c r="AX15" i="6"/>
  <c r="AX16" i="6"/>
  <c r="AX17" i="6"/>
  <c r="AX18" i="6"/>
  <c r="AX19" i="6"/>
  <c r="AX20" i="6"/>
  <c r="AX21" i="6"/>
  <c r="AX22" i="6"/>
  <c r="AX24" i="6"/>
  <c r="AX25" i="6"/>
  <c r="AX26" i="6"/>
  <c r="AX27" i="6"/>
  <c r="AX28" i="6"/>
  <c r="AX29" i="6"/>
  <c r="AX30" i="6"/>
  <c r="AX31" i="6"/>
  <c r="AX32" i="6"/>
  <c r="AX33" i="6"/>
  <c r="AX34" i="6"/>
  <c r="AX35" i="6"/>
  <c r="AX36" i="6"/>
  <c r="AX37" i="6"/>
  <c r="AX38" i="6"/>
  <c r="AX39" i="6"/>
  <c r="AX40" i="6"/>
  <c r="AX41" i="6"/>
  <c r="AX2" i="6"/>
  <c r="J30" i="6"/>
  <c r="O30" i="6"/>
  <c r="T30" i="6"/>
  <c r="Y30" i="6"/>
  <c r="AD30" i="6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7" i="3"/>
  <c r="AB18" i="3"/>
  <c r="AB19" i="3"/>
  <c r="AB21" i="3"/>
  <c r="AB22" i="3"/>
  <c r="AB23" i="3"/>
  <c r="AB25" i="3"/>
  <c r="AB26" i="3"/>
  <c r="AB28" i="3"/>
  <c r="AB29" i="3"/>
  <c r="AB32" i="3"/>
  <c r="AB35" i="3"/>
  <c r="AB36" i="3"/>
  <c r="AB38" i="3"/>
  <c r="AB39" i="3"/>
  <c r="AB40" i="3"/>
  <c r="AB44" i="3"/>
  <c r="AB45" i="3"/>
  <c r="AB46" i="3"/>
  <c r="AB47" i="3"/>
  <c r="AB48" i="3"/>
  <c r="Z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2" i="3"/>
  <c r="AS3" i="6"/>
  <c r="AS4" i="6"/>
  <c r="AS5" i="6"/>
  <c r="AS6" i="6"/>
  <c r="AS7" i="6"/>
  <c r="AS8" i="6"/>
  <c r="AS9" i="6"/>
  <c r="AS10" i="6"/>
  <c r="AS11" i="6"/>
  <c r="AS12" i="6"/>
  <c r="AS13" i="6"/>
  <c r="AS14" i="6"/>
  <c r="AS15" i="6"/>
  <c r="AS16" i="6"/>
  <c r="AS17" i="6"/>
  <c r="AS18" i="6"/>
  <c r="AS19" i="6"/>
  <c r="AS20" i="6"/>
  <c r="AS21" i="6"/>
  <c r="AS22" i="6"/>
  <c r="AS24" i="6"/>
  <c r="AS25" i="6"/>
  <c r="AS26" i="6"/>
  <c r="AS27" i="6"/>
  <c r="AS28" i="6"/>
  <c r="AS29" i="6"/>
  <c r="AS30" i="6"/>
  <c r="AS31" i="6"/>
  <c r="AS32" i="6"/>
  <c r="AS33" i="6"/>
  <c r="AS34" i="6"/>
  <c r="AS35" i="6"/>
  <c r="AS36" i="6"/>
  <c r="AS37" i="6"/>
  <c r="AS38" i="6"/>
  <c r="AS39" i="6"/>
  <c r="AS40" i="6"/>
  <c r="AS41" i="6"/>
  <c r="AS2" i="6"/>
  <c r="M43" i="6"/>
  <c r="H43" i="6"/>
  <c r="AD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4" i="6"/>
  <c r="AD25" i="6"/>
  <c r="AD26" i="6"/>
  <c r="AD27" i="6"/>
  <c r="AD28" i="6"/>
  <c r="AD29" i="6"/>
  <c r="AD31" i="6"/>
  <c r="AD32" i="6"/>
  <c r="AD33" i="6"/>
  <c r="AD34" i="6"/>
  <c r="AD35" i="6"/>
  <c r="AD36" i="6"/>
  <c r="AD37" i="6"/>
  <c r="AD38" i="6"/>
  <c r="AD39" i="6"/>
  <c r="AD40" i="6"/>
  <c r="AD41" i="6"/>
  <c r="AD2" i="6"/>
  <c r="AN3" i="6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22" i="6"/>
  <c r="AN24" i="6"/>
  <c r="AN25" i="6"/>
  <c r="AN26" i="6"/>
  <c r="AN27" i="6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2" i="6"/>
  <c r="AI39" i="6"/>
  <c r="AI3" i="6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40" i="6"/>
  <c r="AI41" i="6"/>
  <c r="AI2" i="6"/>
  <c r="Y3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4" i="6"/>
  <c r="Y25" i="6"/>
  <c r="Y26" i="6"/>
  <c r="Y27" i="6"/>
  <c r="Y28" i="6"/>
  <c r="Y29" i="6"/>
  <c r="Y31" i="6"/>
  <c r="Y32" i="6"/>
  <c r="Y33" i="6"/>
  <c r="Y34" i="6"/>
  <c r="Y35" i="6"/>
  <c r="Y36" i="6"/>
  <c r="Y37" i="6"/>
  <c r="Y38" i="6"/>
  <c r="Y39" i="6"/>
  <c r="Y40" i="6"/>
  <c r="Y41" i="6"/>
  <c r="Y2" i="6"/>
  <c r="T39" i="6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4" i="6"/>
  <c r="T25" i="6"/>
  <c r="T26" i="6"/>
  <c r="T27" i="6"/>
  <c r="T28" i="6"/>
  <c r="T29" i="6"/>
  <c r="T31" i="6"/>
  <c r="T32" i="6"/>
  <c r="T33" i="6"/>
  <c r="T34" i="6"/>
  <c r="T35" i="6"/>
  <c r="T36" i="6"/>
  <c r="T37" i="6"/>
  <c r="T38" i="6"/>
  <c r="T40" i="6"/>
  <c r="T41" i="6"/>
  <c r="T2" i="6"/>
  <c r="J36" i="6"/>
  <c r="J39" i="6"/>
  <c r="T3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4" i="6"/>
  <c r="O25" i="6"/>
  <c r="O26" i="6"/>
  <c r="O27" i="6"/>
  <c r="O28" i="6"/>
  <c r="O29" i="6"/>
  <c r="O31" i="6"/>
  <c r="O32" i="6"/>
  <c r="O33" i="6"/>
  <c r="O34" i="6"/>
  <c r="O35" i="6"/>
  <c r="O36" i="6"/>
  <c r="O37" i="6"/>
  <c r="O38" i="6"/>
  <c r="O39" i="6"/>
  <c r="O40" i="6"/>
  <c r="O41" i="6"/>
  <c r="O2" i="6"/>
  <c r="J2" i="6"/>
  <c r="J27" i="6"/>
  <c r="J28" i="6"/>
  <c r="J29" i="6"/>
  <c r="J31" i="6"/>
  <c r="J32" i="6"/>
  <c r="J33" i="6"/>
  <c r="J34" i="6"/>
  <c r="J35" i="6"/>
  <c r="J37" i="6"/>
  <c r="J38" i="6"/>
  <c r="J40" i="6"/>
  <c r="J41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4" i="6"/>
  <c r="J25" i="6"/>
  <c r="J26" i="6"/>
  <c r="AQ3" i="3"/>
  <c r="AR3" i="3" s="1"/>
  <c r="AQ4" i="3"/>
  <c r="AR4" i="3" s="1"/>
  <c r="AQ5" i="3"/>
  <c r="AR5" i="3" s="1"/>
  <c r="AQ6" i="3"/>
  <c r="AR6" i="3" s="1"/>
  <c r="AQ8" i="3"/>
  <c r="AR8" i="3" s="1"/>
  <c r="AQ9" i="3"/>
  <c r="AR9" i="3" s="1"/>
  <c r="AQ11" i="3"/>
  <c r="AR11" i="3" s="1"/>
  <c r="AQ13" i="3"/>
  <c r="AR13" i="3" s="1"/>
  <c r="AQ14" i="3"/>
  <c r="AR14" i="3" s="1"/>
  <c r="AQ16" i="3"/>
  <c r="AR16" i="3" s="1"/>
  <c r="AQ17" i="3"/>
  <c r="AR17" i="3" s="1"/>
  <c r="AQ18" i="3"/>
  <c r="AR18" i="3" s="1"/>
  <c r="AQ19" i="3"/>
  <c r="AR19" i="3" s="1"/>
  <c r="AQ20" i="3"/>
  <c r="AR20" i="3" s="1"/>
  <c r="AQ21" i="3"/>
  <c r="AR21" i="3" s="1"/>
  <c r="AQ22" i="3"/>
  <c r="AR22" i="3" s="1"/>
  <c r="AQ24" i="3"/>
  <c r="AR24" i="3" s="1"/>
  <c r="AQ26" i="3"/>
  <c r="AR26" i="3" s="1"/>
  <c r="AQ28" i="3"/>
  <c r="AR28" i="3" s="1"/>
  <c r="AQ29" i="3"/>
  <c r="AR29" i="3" s="1"/>
  <c r="AQ32" i="3"/>
  <c r="AR32" i="3" s="1"/>
  <c r="AQ35" i="3"/>
  <c r="AR35" i="3" s="1"/>
  <c r="AQ37" i="3"/>
  <c r="AR37" i="3" s="1"/>
  <c r="AQ39" i="3"/>
  <c r="AR39" i="3" s="1"/>
  <c r="AQ46" i="3"/>
  <c r="AR46" i="3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2" i="5"/>
  <c r="AJ30" i="3"/>
  <c r="AG14" i="3"/>
  <c r="AH14" i="3" s="1"/>
  <c r="AG16" i="3"/>
  <c r="AH16" i="3" s="1"/>
  <c r="AG17" i="3"/>
  <c r="AH17" i="3" s="1"/>
  <c r="AG19" i="3"/>
  <c r="AH19" i="3" s="1"/>
  <c r="AG20" i="3"/>
  <c r="AH20" i="3" s="1"/>
  <c r="AG29" i="3"/>
  <c r="AH29" i="3" s="1"/>
  <c r="AG47" i="3"/>
  <c r="AH47" i="3" s="1"/>
  <c r="AE30" i="3"/>
  <c r="AO3" i="3"/>
  <c r="AO4" i="3"/>
  <c r="AO5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2" i="3"/>
  <c r="AL52" i="3"/>
  <c r="AL43" i="3" s="1"/>
  <c r="AM43" i="3" s="1"/>
  <c r="R3" i="3"/>
  <c r="S3" i="3" s="1"/>
  <c r="R4" i="3"/>
  <c r="S4" i="3" s="1"/>
  <c r="R5" i="3"/>
  <c r="S5" i="3" s="1"/>
  <c r="R6" i="3"/>
  <c r="S6" i="3" s="1"/>
  <c r="R7" i="3"/>
  <c r="S7" i="3" s="1"/>
  <c r="R8" i="3"/>
  <c r="S8" i="3" s="1"/>
  <c r="R9" i="3"/>
  <c r="S9" i="3" s="1"/>
  <c r="R10" i="3"/>
  <c r="S10" i="3" s="1"/>
  <c r="R11" i="3"/>
  <c r="S11" i="3" s="1"/>
  <c r="R12" i="3"/>
  <c r="S12" i="3" s="1"/>
  <c r="R13" i="3"/>
  <c r="S13" i="3" s="1"/>
  <c r="R14" i="3"/>
  <c r="S14" i="3" s="1"/>
  <c r="R15" i="3"/>
  <c r="S15" i="3" s="1"/>
  <c r="R24" i="3"/>
  <c r="S24" i="3" s="1"/>
  <c r="R26" i="3"/>
  <c r="S26" i="3" s="1"/>
  <c r="R27" i="3"/>
  <c r="S27" i="3" s="1"/>
  <c r="R28" i="3"/>
  <c r="S28" i="3" s="1"/>
  <c r="R29" i="3"/>
  <c r="S29" i="3" s="1"/>
  <c r="R30" i="3"/>
  <c r="S30" i="3" s="1"/>
  <c r="R32" i="3"/>
  <c r="S32" i="3" s="1"/>
  <c r="R34" i="3"/>
  <c r="S34" i="3" s="1"/>
  <c r="R35" i="3"/>
  <c r="S35" i="3" s="1"/>
  <c r="R36" i="3"/>
  <c r="S36" i="3" s="1"/>
  <c r="R38" i="3"/>
  <c r="S38" i="3" s="1"/>
  <c r="R39" i="3"/>
  <c r="S39" i="3" s="1"/>
  <c r="R40" i="3"/>
  <c r="S40" i="3" s="1"/>
  <c r="R41" i="3"/>
  <c r="S41" i="3" s="1"/>
  <c r="R44" i="3"/>
  <c r="S44" i="3" s="1"/>
  <c r="R45" i="3"/>
  <c r="S45" i="3" s="1"/>
  <c r="R46" i="3"/>
  <c r="S46" i="3" s="1"/>
  <c r="R47" i="3"/>
  <c r="S47" i="3" s="1"/>
  <c r="R48" i="3"/>
  <c r="S48" i="3" s="1"/>
  <c r="R2" i="3"/>
  <c r="S2" i="3" s="1"/>
  <c r="M4" i="3"/>
  <c r="N4" i="3" s="1"/>
  <c r="M5" i="3"/>
  <c r="N5" i="3" s="1"/>
  <c r="M6" i="3"/>
  <c r="N6" i="3" s="1"/>
  <c r="M7" i="3"/>
  <c r="N7" i="3" s="1"/>
  <c r="M8" i="3"/>
  <c r="N8" i="3" s="1"/>
  <c r="M9" i="3"/>
  <c r="N9" i="3" s="1"/>
  <c r="M10" i="3"/>
  <c r="N10" i="3" s="1"/>
  <c r="M11" i="3"/>
  <c r="N11" i="3" s="1"/>
  <c r="M12" i="3"/>
  <c r="N12" i="3" s="1"/>
  <c r="M13" i="3"/>
  <c r="N13" i="3" s="1"/>
  <c r="M14" i="3"/>
  <c r="N14" i="3" s="1"/>
  <c r="M15" i="3"/>
  <c r="N15" i="3" s="1"/>
  <c r="M16" i="3"/>
  <c r="N16" i="3" s="1"/>
  <c r="M17" i="3"/>
  <c r="N17" i="3" s="1"/>
  <c r="M18" i="3"/>
  <c r="N18" i="3" s="1"/>
  <c r="M19" i="3"/>
  <c r="N19" i="3" s="1"/>
  <c r="M20" i="3"/>
  <c r="N20" i="3" s="1"/>
  <c r="M21" i="3"/>
  <c r="N21" i="3" s="1"/>
  <c r="M22" i="3"/>
  <c r="N22" i="3" s="1"/>
  <c r="M23" i="3"/>
  <c r="N23" i="3" s="1"/>
  <c r="M24" i="3"/>
  <c r="N24" i="3" s="1"/>
  <c r="M25" i="3"/>
  <c r="N25" i="3" s="1"/>
  <c r="M26" i="3"/>
  <c r="N26" i="3" s="1"/>
  <c r="M27" i="3"/>
  <c r="N27" i="3" s="1"/>
  <c r="M28" i="3"/>
  <c r="N28" i="3" s="1"/>
  <c r="M29" i="3"/>
  <c r="N29" i="3" s="1"/>
  <c r="M30" i="3"/>
  <c r="N30" i="3" s="1"/>
  <c r="M31" i="3"/>
  <c r="N31" i="3" s="1"/>
  <c r="M33" i="3"/>
  <c r="N33" i="3" s="1"/>
  <c r="M34" i="3"/>
  <c r="N34" i="3" s="1"/>
  <c r="M35" i="3"/>
  <c r="N35" i="3" s="1"/>
  <c r="M36" i="3"/>
  <c r="N36" i="3" s="1"/>
  <c r="M38" i="3"/>
  <c r="N38" i="3" s="1"/>
  <c r="M39" i="3"/>
  <c r="N39" i="3" s="1"/>
  <c r="M40" i="3"/>
  <c r="N40" i="3" s="1"/>
  <c r="M41" i="3"/>
  <c r="N41" i="3" s="1"/>
  <c r="M44" i="3"/>
  <c r="N44" i="3" s="1"/>
  <c r="M45" i="3"/>
  <c r="N45" i="3" s="1"/>
  <c r="M46" i="3"/>
  <c r="N46" i="3" s="1"/>
  <c r="M47" i="3"/>
  <c r="N47" i="3" s="1"/>
  <c r="M48" i="3"/>
  <c r="N48" i="3" s="1"/>
  <c r="M49" i="3"/>
  <c r="N49" i="3" s="1"/>
  <c r="M50" i="3"/>
  <c r="N50" i="3" s="1"/>
  <c r="M2" i="3"/>
  <c r="N2" i="3" s="1"/>
  <c r="G4" i="3"/>
  <c r="H4" i="3" s="1"/>
  <c r="G5" i="3"/>
  <c r="H5" i="3" s="1"/>
  <c r="G6" i="3"/>
  <c r="H6" i="3" s="1"/>
  <c r="G7" i="3"/>
  <c r="H7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G22" i="3"/>
  <c r="H22" i="3" s="1"/>
  <c r="G26" i="3"/>
  <c r="H26" i="3" s="1"/>
  <c r="G28" i="3"/>
  <c r="H28" i="3" s="1"/>
  <c r="G29" i="3"/>
  <c r="H29" i="3" s="1"/>
  <c r="G30" i="3"/>
  <c r="H30" i="3" s="1"/>
  <c r="G32" i="3"/>
  <c r="H32" i="3" s="1"/>
  <c r="G34" i="3"/>
  <c r="H34" i="3" s="1"/>
  <c r="G35" i="3"/>
  <c r="H35" i="3" s="1"/>
  <c r="G36" i="3"/>
  <c r="H36" i="3" s="1"/>
  <c r="G37" i="3"/>
  <c r="H37" i="3" s="1"/>
  <c r="G38" i="3"/>
  <c r="H38" i="3" s="1"/>
  <c r="G39" i="3"/>
  <c r="H39" i="3" s="1"/>
  <c r="G40" i="3"/>
  <c r="H40" i="3" s="1"/>
  <c r="G41" i="3"/>
  <c r="H41" i="3" s="1"/>
  <c r="G44" i="3"/>
  <c r="H44" i="3" s="1"/>
  <c r="G45" i="3"/>
  <c r="H45" i="3" s="1"/>
  <c r="G47" i="3"/>
  <c r="H47" i="3" s="1"/>
  <c r="G48" i="3"/>
  <c r="H48" i="3" s="1"/>
  <c r="W3" i="3"/>
  <c r="X3" i="3" s="1"/>
  <c r="W4" i="3"/>
  <c r="X4" i="3" s="1"/>
  <c r="W5" i="3"/>
  <c r="X5" i="3" s="1"/>
  <c r="W6" i="3"/>
  <c r="X6" i="3" s="1"/>
  <c r="W7" i="3"/>
  <c r="X7" i="3" s="1"/>
  <c r="W8" i="3"/>
  <c r="X8" i="3" s="1"/>
  <c r="W9" i="3"/>
  <c r="X9" i="3" s="1"/>
  <c r="W10" i="3"/>
  <c r="X10" i="3" s="1"/>
  <c r="W11" i="3"/>
  <c r="X11" i="3" s="1"/>
  <c r="W12" i="3"/>
  <c r="X12" i="3" s="1"/>
  <c r="W13" i="3"/>
  <c r="X13" i="3" s="1"/>
  <c r="W14" i="3"/>
  <c r="X14" i="3" s="1"/>
  <c r="W15" i="3"/>
  <c r="X15" i="3" s="1"/>
  <c r="W17" i="3"/>
  <c r="X17" i="3" s="1"/>
  <c r="W19" i="3"/>
  <c r="X19" i="3" s="1"/>
  <c r="W23" i="3"/>
  <c r="X23" i="3" s="1"/>
  <c r="W24" i="3"/>
  <c r="X24" i="3" s="1"/>
  <c r="W25" i="3"/>
  <c r="X25" i="3" s="1"/>
  <c r="W26" i="3"/>
  <c r="X26" i="3" s="1"/>
  <c r="W27" i="3"/>
  <c r="X27" i="3" s="1"/>
  <c r="W29" i="3"/>
  <c r="X29" i="3" s="1"/>
  <c r="W31" i="3"/>
  <c r="X31" i="3" s="1"/>
  <c r="W32" i="3"/>
  <c r="X32" i="3" s="1"/>
  <c r="W35" i="3"/>
  <c r="X35" i="3" s="1"/>
  <c r="W36" i="3"/>
  <c r="X36" i="3" s="1"/>
  <c r="W38" i="3"/>
  <c r="X38" i="3" s="1"/>
  <c r="W39" i="3"/>
  <c r="X39" i="3" s="1"/>
  <c r="W40" i="3"/>
  <c r="X40" i="3" s="1"/>
  <c r="W45" i="3"/>
  <c r="X45" i="3" s="1"/>
  <c r="W46" i="3"/>
  <c r="X46" i="3" s="1"/>
  <c r="W47" i="3"/>
  <c r="X47" i="3" s="1"/>
  <c r="W48" i="3"/>
  <c r="X48" i="3" s="1"/>
  <c r="W2" i="3"/>
  <c r="X2" i="3" s="1"/>
  <c r="AG3" i="3"/>
  <c r="AH3" i="3" s="1"/>
  <c r="AG4" i="3"/>
  <c r="AH4" i="3" s="1"/>
  <c r="AG5" i="3"/>
  <c r="AH5" i="3" s="1"/>
  <c r="AG6" i="3"/>
  <c r="AH6" i="3" s="1"/>
  <c r="AG7" i="3"/>
  <c r="AH7" i="3" s="1"/>
  <c r="AG8" i="3"/>
  <c r="AH8" i="3" s="1"/>
  <c r="AG9" i="3"/>
  <c r="AH9" i="3" s="1"/>
  <c r="AG2" i="3"/>
  <c r="AH2" i="3" s="1"/>
  <c r="R52" i="3"/>
  <c r="R25" i="3" s="1"/>
  <c r="S25" i="3" s="1"/>
  <c r="G52" i="3"/>
  <c r="G24" i="3" s="1"/>
  <c r="H24" i="3" s="1"/>
  <c r="M52" i="3"/>
  <c r="M42" i="3" s="1"/>
  <c r="N42" i="3" s="1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2" i="3"/>
  <c r="U30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2" i="3"/>
  <c r="P30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2" i="3"/>
  <c r="K30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2" i="3"/>
  <c r="E30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2" i="3"/>
  <c r="E4" i="1"/>
  <c r="E5" i="1"/>
  <c r="E6" i="1"/>
  <c r="E3" i="1"/>
  <c r="R22" i="3" l="1"/>
  <c r="S22" i="3" s="1"/>
  <c r="AL47" i="3"/>
  <c r="AM47" i="3" s="1"/>
  <c r="D110" i="5"/>
  <c r="AK51" i="3" s="1"/>
  <c r="AL20" i="3" s="1"/>
  <c r="AM20" i="3" s="1"/>
  <c r="AG4" i="8"/>
  <c r="F4" i="15" s="1"/>
  <c r="BL4" i="8"/>
  <c r="J4" i="15" s="1"/>
  <c r="BC4" i="8"/>
  <c r="I4" i="15" s="1"/>
  <c r="BJ23" i="6"/>
  <c r="M23" i="6"/>
  <c r="BA23" i="6"/>
  <c r="Q23" i="6"/>
  <c r="BP23" i="6"/>
  <c r="G23" i="6"/>
  <c r="W12" i="11"/>
  <c r="F9" i="14" s="1"/>
  <c r="W3" i="11"/>
  <c r="F3" i="14" s="1"/>
  <c r="V9" i="11"/>
  <c r="R9" i="11"/>
  <c r="N9" i="11"/>
  <c r="E6" i="14" s="1"/>
  <c r="AI9" i="11"/>
  <c r="I6" i="14" s="1"/>
  <c r="F3" i="11"/>
  <c r="C3" i="14" s="1"/>
  <c r="N3" i="11"/>
  <c r="E3" i="14" s="1"/>
  <c r="E8" i="14"/>
  <c r="T3" i="8"/>
  <c r="D3" i="15" s="1"/>
  <c r="T4" i="8"/>
  <c r="D4" i="15" s="1"/>
  <c r="T2" i="8"/>
  <c r="D2" i="15" s="1"/>
  <c r="T6" i="8"/>
  <c r="D6" i="15" s="1"/>
  <c r="T5" i="8"/>
  <c r="D5" i="15" s="1"/>
  <c r="AK4" i="8"/>
  <c r="AP4" i="8" s="1"/>
  <c r="G4" i="15" s="1"/>
  <c r="T7" i="8"/>
  <c r="D7" i="15" s="1"/>
  <c r="K5" i="8"/>
  <c r="C5" i="15" s="1"/>
  <c r="K4" i="8"/>
  <c r="C4" i="15" s="1"/>
  <c r="K6" i="8"/>
  <c r="C6" i="15" s="1"/>
  <c r="K3" i="8"/>
  <c r="C3" i="15" s="1"/>
  <c r="K2" i="8"/>
  <c r="C2" i="15" s="1"/>
  <c r="K7" i="8"/>
  <c r="C7" i="15" s="1"/>
  <c r="J12" i="8"/>
  <c r="J11" i="8"/>
  <c r="AQ29" i="6"/>
  <c r="AR24" i="6" s="1"/>
  <c r="AM2" i="6"/>
  <c r="AW2" i="6"/>
  <c r="BG2" i="6"/>
  <c r="BQ2" i="6"/>
  <c r="CA2" i="6"/>
  <c r="BQ30" i="6"/>
  <c r="S24" i="6"/>
  <c r="I2" i="6"/>
  <c r="G3" i="7" s="1"/>
  <c r="S2" i="6"/>
  <c r="N2" i="6"/>
  <c r="AC30" i="6"/>
  <c r="AH2" i="6"/>
  <c r="BB2" i="6"/>
  <c r="BV2" i="6"/>
  <c r="CA24" i="6"/>
  <c r="X30" i="6"/>
  <c r="AH30" i="6"/>
  <c r="AR30" i="6"/>
  <c r="BB30" i="6"/>
  <c r="BV30" i="6"/>
  <c r="BB16" i="6"/>
  <c r="AC2" i="6"/>
  <c r="BL30" i="6"/>
  <c r="I30" i="6"/>
  <c r="G7" i="7" s="1"/>
  <c r="N35" i="6"/>
  <c r="H8" i="7" s="1"/>
  <c r="N24" i="6"/>
  <c r="H6" i="7" s="1"/>
  <c r="N9" i="6"/>
  <c r="X9" i="6"/>
  <c r="AH16" i="6"/>
  <c r="AH9" i="6"/>
  <c r="AR9" i="6"/>
  <c r="AW30" i="6"/>
  <c r="BB35" i="6"/>
  <c r="BB24" i="6"/>
  <c r="BB9" i="6"/>
  <c r="BL9" i="6"/>
  <c r="BV16" i="6"/>
  <c r="BV9" i="6"/>
  <c r="X16" i="6"/>
  <c r="AH24" i="6"/>
  <c r="AR16" i="6"/>
  <c r="BL16" i="6"/>
  <c r="BV24" i="6"/>
  <c r="X35" i="6"/>
  <c r="X24" i="6"/>
  <c r="AR35" i="6"/>
  <c r="BL35" i="6"/>
  <c r="BL24" i="6"/>
  <c r="S30" i="6"/>
  <c r="AM30" i="6"/>
  <c r="BG30" i="6"/>
  <c r="CA30" i="6"/>
  <c r="S9" i="6"/>
  <c r="X2" i="6"/>
  <c r="AC9" i="6"/>
  <c r="AH35" i="6"/>
  <c r="AM24" i="6"/>
  <c r="AM9" i="6"/>
  <c r="AR2" i="6"/>
  <c r="AW9" i="6"/>
  <c r="BG24" i="6"/>
  <c r="BG9" i="6"/>
  <c r="BL2" i="6"/>
  <c r="BQ9" i="6"/>
  <c r="BV35" i="6"/>
  <c r="CA9" i="6"/>
  <c r="S35" i="6"/>
  <c r="S16" i="6"/>
  <c r="AC35" i="6"/>
  <c r="AC16" i="6"/>
  <c r="AM16" i="6"/>
  <c r="AW35" i="6"/>
  <c r="AW16" i="6"/>
  <c r="BG35" i="6"/>
  <c r="BG16" i="6"/>
  <c r="BQ35" i="6"/>
  <c r="BQ16" i="6"/>
  <c r="CA16" i="6"/>
  <c r="I9" i="6"/>
  <c r="I35" i="6"/>
  <c r="G8" i="7" s="1"/>
  <c r="I24" i="6"/>
  <c r="AC24" i="6"/>
  <c r="AM35" i="6"/>
  <c r="AW24" i="6"/>
  <c r="BQ24" i="6"/>
  <c r="CA35" i="6"/>
  <c r="I16" i="6"/>
  <c r="N16" i="6"/>
  <c r="N30" i="6"/>
  <c r="H7" i="7" s="1"/>
  <c r="AU4" i="13"/>
  <c r="AK3" i="13"/>
  <c r="H2" i="16"/>
  <c r="D2" i="16"/>
  <c r="G4" i="13"/>
  <c r="M9" i="11"/>
  <c r="M10" i="11"/>
  <c r="AL30" i="3"/>
  <c r="AM30" i="3" s="1"/>
  <c r="AL38" i="3"/>
  <c r="AM38" i="3" s="1"/>
  <c r="AL36" i="3"/>
  <c r="AM36" i="3" s="1"/>
  <c r="AL19" i="3"/>
  <c r="AM19" i="3" s="1"/>
  <c r="G11" i="3"/>
  <c r="H11" i="3" s="1"/>
  <c r="AL3" i="3"/>
  <c r="AM3" i="3" s="1"/>
  <c r="AL15" i="3"/>
  <c r="AM15" i="3" s="1"/>
  <c r="V3" i="13"/>
  <c r="L6" i="13"/>
  <c r="F13" i="13"/>
  <c r="V2" i="13"/>
  <c r="AO13" i="13"/>
  <c r="L3" i="13"/>
  <c r="AF4" i="13"/>
  <c r="AF5" i="13"/>
  <c r="AP2" i="13"/>
  <c r="AK7" i="13"/>
  <c r="M37" i="3"/>
  <c r="N37" i="3" s="1"/>
  <c r="Z13" i="13"/>
  <c r="V7" i="13"/>
  <c r="AA2" i="13"/>
  <c r="Z12" i="13"/>
  <c r="AE12" i="13"/>
  <c r="AF2" i="13"/>
  <c r="G2" i="13"/>
  <c r="AU2" i="13"/>
  <c r="AO12" i="13"/>
  <c r="AJ13" i="13"/>
  <c r="F12" i="13"/>
  <c r="AT12" i="13"/>
  <c r="AF9" i="11"/>
  <c r="AF8" i="11"/>
  <c r="AF6" i="11"/>
  <c r="AF4" i="11"/>
  <c r="AF3" i="11"/>
  <c r="AF2" i="11"/>
  <c r="AF13" i="11"/>
  <c r="AL7" i="3"/>
  <c r="AM7" i="3" s="1"/>
  <c r="AL31" i="3"/>
  <c r="AM31" i="3" s="1"/>
  <c r="G46" i="3"/>
  <c r="H46" i="3" s="1"/>
  <c r="M32" i="3"/>
  <c r="N32" i="3" s="1"/>
  <c r="R37" i="3"/>
  <c r="S37" i="3" s="1"/>
  <c r="AL35" i="3"/>
  <c r="AM35" i="3" s="1"/>
  <c r="G31" i="3"/>
  <c r="H31" i="3" s="1"/>
  <c r="G9" i="3"/>
  <c r="H9" i="3" s="1"/>
  <c r="AL22" i="3"/>
  <c r="AM22" i="3" s="1"/>
  <c r="G8" i="3"/>
  <c r="H8" i="3" s="1"/>
  <c r="R21" i="3"/>
  <c r="S21" i="3" s="1"/>
  <c r="AL23" i="3"/>
  <c r="AM23" i="3" s="1"/>
  <c r="R17" i="3"/>
  <c r="S17" i="3" s="1"/>
  <c r="AL4" i="3"/>
  <c r="AM4" i="3" s="1"/>
  <c r="AL28" i="3"/>
  <c r="AM28" i="3" s="1"/>
  <c r="R49" i="3"/>
  <c r="S49" i="3" s="1"/>
  <c r="R16" i="3"/>
  <c r="S16" i="3" s="1"/>
  <c r="AL6" i="3"/>
  <c r="AM6" i="3" s="1"/>
  <c r="G49" i="3"/>
  <c r="H49" i="3" s="1"/>
  <c r="AL39" i="3"/>
  <c r="AM39" i="3" s="1"/>
  <c r="G27" i="3"/>
  <c r="H27" i="3" s="1"/>
  <c r="AL11" i="3"/>
  <c r="AM11" i="3" s="1"/>
  <c r="AL27" i="3"/>
  <c r="AM27" i="3" s="1"/>
  <c r="AL50" i="3"/>
  <c r="AM50" i="3" s="1"/>
  <c r="AL42" i="3"/>
  <c r="AM42" i="3" s="1"/>
  <c r="AL34" i="3"/>
  <c r="AM34" i="3" s="1"/>
  <c r="AL18" i="3"/>
  <c r="AM18" i="3" s="1"/>
  <c r="AL10" i="3"/>
  <c r="AM10" i="3" s="1"/>
  <c r="AL49" i="3"/>
  <c r="AM49" i="3" s="1"/>
  <c r="AL41" i="3"/>
  <c r="AM41" i="3" s="1"/>
  <c r="AL33" i="3"/>
  <c r="AM33" i="3" s="1"/>
  <c r="AL25" i="3"/>
  <c r="AM25" i="3" s="1"/>
  <c r="AL48" i="3"/>
  <c r="AM48" i="3" s="1"/>
  <c r="AL24" i="3"/>
  <c r="AM24" i="3" s="1"/>
  <c r="AL45" i="3"/>
  <c r="AM45" i="3" s="1"/>
  <c r="AL37" i="3"/>
  <c r="AM37" i="3" s="1"/>
  <c r="G13" i="3"/>
  <c r="H13" i="3" s="1"/>
  <c r="G33" i="3"/>
  <c r="H33" i="3" s="1"/>
  <c r="G2" i="3"/>
  <c r="H2" i="3" s="1"/>
  <c r="G14" i="3"/>
  <c r="H14" i="3" s="1"/>
  <c r="G42" i="3"/>
  <c r="H42" i="3" s="1"/>
  <c r="G3" i="3"/>
  <c r="H3" i="3" s="1"/>
  <c r="G15" i="3"/>
  <c r="H15" i="3" s="1"/>
  <c r="G43" i="3"/>
  <c r="H43" i="3" s="1"/>
  <c r="G10" i="3"/>
  <c r="H10" i="3" s="1"/>
  <c r="G25" i="3"/>
  <c r="H25" i="3" s="1"/>
  <c r="G50" i="3"/>
  <c r="H50" i="3" s="1"/>
  <c r="AL12" i="3"/>
  <c r="AM12" i="3" s="1"/>
  <c r="AL44" i="3"/>
  <c r="AM44" i="3" s="1"/>
  <c r="G23" i="3"/>
  <c r="H23" i="3" s="1"/>
  <c r="R18" i="3"/>
  <c r="S18" i="3" s="1"/>
  <c r="R42" i="3"/>
  <c r="S42" i="3" s="1"/>
  <c r="R50" i="3"/>
  <c r="S50" i="3" s="1"/>
  <c r="R19" i="3"/>
  <c r="S19" i="3" s="1"/>
  <c r="R43" i="3"/>
  <c r="S43" i="3" s="1"/>
  <c r="R20" i="3"/>
  <c r="S20" i="3" s="1"/>
  <c r="R23" i="3"/>
  <c r="S23" i="3" s="1"/>
  <c r="R31" i="3"/>
  <c r="S31" i="3" s="1"/>
  <c r="R33" i="3"/>
  <c r="S33" i="3" s="1"/>
  <c r="AL14" i="3"/>
  <c r="AM14" i="3" s="1"/>
  <c r="AL46" i="3"/>
  <c r="AM46" i="3" s="1"/>
  <c r="AL26" i="3"/>
  <c r="AM26" i="3" s="1"/>
  <c r="AL2" i="3"/>
  <c r="AM2" i="3" s="1"/>
  <c r="AL17" i="3"/>
  <c r="AM17" i="3" s="1"/>
  <c r="AL9" i="3"/>
  <c r="AM9" i="3" s="1"/>
  <c r="AL40" i="3"/>
  <c r="AM40" i="3" s="1"/>
  <c r="AL32" i="3"/>
  <c r="AM32" i="3" s="1"/>
  <c r="AL16" i="3"/>
  <c r="AM16" i="3" s="1"/>
  <c r="AL8" i="3"/>
  <c r="AM8" i="3" s="1"/>
  <c r="AL29" i="3"/>
  <c r="AM29" i="3" s="1"/>
  <c r="AL21" i="3"/>
  <c r="AM21" i="3" s="1"/>
  <c r="AL13" i="3"/>
  <c r="AM13" i="3" s="1"/>
  <c r="AL5" i="3"/>
  <c r="AM5" i="3" s="1"/>
  <c r="G12" i="3"/>
  <c r="H12" i="3" s="1"/>
  <c r="M43" i="3"/>
  <c r="N43" i="3" s="1"/>
  <c r="M3" i="3"/>
  <c r="N3" i="3" s="1"/>
  <c r="W9" i="11" l="1"/>
  <c r="F6" i="14" s="1"/>
  <c r="AJ12" i="13"/>
  <c r="U13" i="13"/>
  <c r="AE13" i="13"/>
  <c r="P13" i="13"/>
  <c r="G21" i="7"/>
  <c r="U12" i="13"/>
  <c r="G19" i="7"/>
  <c r="G22" i="7"/>
  <c r="K13" i="13"/>
  <c r="P12" i="13"/>
  <c r="K12" i="13"/>
  <c r="L2" i="13"/>
  <c r="G6" i="7"/>
  <c r="G20" i="7" s="1"/>
  <c r="H46" i="6"/>
  <c r="G4" i="7"/>
  <c r="H45" i="6"/>
  <c r="M55" i="3"/>
  <c r="M54" i="3"/>
  <c r="AL54" i="3"/>
  <c r="AL55" i="3"/>
  <c r="R55" i="3"/>
  <c r="G55" i="3"/>
  <c r="R54" i="3"/>
  <c r="H4" i="7"/>
  <c r="M45" i="6"/>
  <c r="M46" i="6"/>
  <c r="G54" i="3"/>
  <c r="G18" i="7" l="1"/>
  <c r="AN44" i="3"/>
  <c r="I11" i="4" s="1"/>
  <c r="AN23" i="3" l="1"/>
  <c r="I8" i="4" s="1"/>
  <c r="AN30" i="3"/>
  <c r="I9" i="4" s="1"/>
  <c r="AN37" i="3"/>
  <c r="I10" i="4" s="1"/>
  <c r="AN9" i="3"/>
  <c r="I6" i="4" s="1"/>
  <c r="AN16" i="3"/>
  <c r="I7" i="4" s="1"/>
  <c r="AS16" i="3"/>
  <c r="J7" i="4" s="1"/>
  <c r="AN2" i="3"/>
  <c r="I5" i="4" s="1"/>
  <c r="Y9" i="3"/>
  <c r="E6" i="4" s="1"/>
  <c r="Y2" i="3"/>
  <c r="E5" i="4" s="1"/>
  <c r="I44" i="3"/>
  <c r="G11" i="4" s="1"/>
  <c r="I9" i="3"/>
  <c r="G6" i="4" s="1"/>
  <c r="I2" i="3"/>
  <c r="G5" i="4" s="1"/>
  <c r="T44" i="3"/>
  <c r="D11" i="4" s="1"/>
  <c r="O30" i="3"/>
  <c r="C9" i="4" s="1"/>
  <c r="O44" i="3"/>
  <c r="C11" i="4" s="1"/>
  <c r="T9" i="3"/>
  <c r="D6" i="4" s="1"/>
  <c r="I23" i="3"/>
  <c r="G8" i="4" s="1"/>
  <c r="I16" i="3"/>
  <c r="G7" i="4" s="1"/>
  <c r="T30" i="3"/>
  <c r="D9" i="4" s="1"/>
  <c r="I37" i="3"/>
  <c r="G10" i="4" s="1"/>
  <c r="T23" i="3"/>
  <c r="D8" i="4" s="1"/>
  <c r="O23" i="3"/>
  <c r="C8" i="4" s="1"/>
  <c r="O2" i="3"/>
  <c r="C5" i="4" s="1"/>
  <c r="T16" i="3"/>
  <c r="D7" i="4" s="1"/>
  <c r="O16" i="3"/>
  <c r="C7" i="4" s="1"/>
  <c r="O9" i="3"/>
  <c r="C6" i="4" s="1"/>
  <c r="I30" i="3"/>
  <c r="G9" i="4" s="1"/>
  <c r="O37" i="3"/>
  <c r="C10" i="4" s="1"/>
  <c r="AI2" i="3"/>
  <c r="H5" i="4" s="1"/>
  <c r="T37" i="3"/>
  <c r="D10" i="4" s="1"/>
  <c r="T2" i="3"/>
  <c r="D5" i="4" s="1"/>
  <c r="W52" i="3"/>
  <c r="W33" i="3" l="1"/>
  <c r="X33" i="3" s="1"/>
  <c r="W41" i="3"/>
  <c r="X41" i="3" s="1"/>
  <c r="W49" i="3"/>
  <c r="X49" i="3" s="1"/>
  <c r="W18" i="3"/>
  <c r="X18" i="3" s="1"/>
  <c r="W34" i="3"/>
  <c r="X34" i="3" s="1"/>
  <c r="W42" i="3"/>
  <c r="X42" i="3" s="1"/>
  <c r="W50" i="3"/>
  <c r="X50" i="3" s="1"/>
  <c r="W43" i="3"/>
  <c r="X43" i="3" s="1"/>
  <c r="W22" i="3"/>
  <c r="X22" i="3" s="1"/>
  <c r="W30" i="3"/>
  <c r="X30" i="3" s="1"/>
  <c r="W16" i="3"/>
  <c r="W37" i="3"/>
  <c r="X37" i="3" s="1"/>
  <c r="W21" i="3"/>
  <c r="X21" i="3" s="1"/>
  <c r="W28" i="3"/>
  <c r="X28" i="3" s="1"/>
  <c r="Y23" i="3" s="1"/>
  <c r="E8" i="4" s="1"/>
  <c r="W20" i="3"/>
  <c r="X20" i="3" s="1"/>
  <c r="W44" i="3"/>
  <c r="X44" i="3" s="1"/>
  <c r="Y44" i="3" s="1"/>
  <c r="E11" i="4" s="1"/>
  <c r="AG52" i="3"/>
  <c r="Y37" i="3" l="1"/>
  <c r="E10" i="4" s="1"/>
  <c r="AG13" i="3"/>
  <c r="AH13" i="3" s="1"/>
  <c r="AG21" i="3"/>
  <c r="AH21" i="3" s="1"/>
  <c r="AG37" i="3"/>
  <c r="AH37" i="3" s="1"/>
  <c r="AG45" i="3"/>
  <c r="AH45" i="3" s="1"/>
  <c r="AG22" i="3"/>
  <c r="AH22" i="3" s="1"/>
  <c r="AG30" i="3"/>
  <c r="AH30" i="3" s="1"/>
  <c r="AG38" i="3"/>
  <c r="AH38" i="3" s="1"/>
  <c r="AG46" i="3"/>
  <c r="AH46" i="3" s="1"/>
  <c r="AG15" i="3"/>
  <c r="AH15" i="3" s="1"/>
  <c r="AG23" i="3"/>
  <c r="AH23" i="3" s="1"/>
  <c r="AG31" i="3"/>
  <c r="AH31" i="3" s="1"/>
  <c r="AG39" i="3"/>
  <c r="AH39" i="3" s="1"/>
  <c r="AG10" i="3"/>
  <c r="AG18" i="3"/>
  <c r="AH18" i="3" s="1"/>
  <c r="AG26" i="3"/>
  <c r="AH26" i="3" s="1"/>
  <c r="AG34" i="3"/>
  <c r="AH34" i="3" s="1"/>
  <c r="AG42" i="3"/>
  <c r="AH42" i="3" s="1"/>
  <c r="AG50" i="3"/>
  <c r="AH50" i="3" s="1"/>
  <c r="AG28" i="3"/>
  <c r="AH28" i="3" s="1"/>
  <c r="AG43" i="3"/>
  <c r="AH43" i="3" s="1"/>
  <c r="AG11" i="3"/>
  <c r="AH11" i="3" s="1"/>
  <c r="AG41" i="3"/>
  <c r="AH41" i="3" s="1"/>
  <c r="AG44" i="3"/>
  <c r="AH44" i="3" s="1"/>
  <c r="AG35" i="3"/>
  <c r="AH35" i="3" s="1"/>
  <c r="AG40" i="3"/>
  <c r="AH40" i="3" s="1"/>
  <c r="AG32" i="3"/>
  <c r="AH32" i="3" s="1"/>
  <c r="AG36" i="3"/>
  <c r="AH36" i="3" s="1"/>
  <c r="AG12" i="3"/>
  <c r="AH12" i="3" s="1"/>
  <c r="AG33" i="3"/>
  <c r="AH33" i="3" s="1"/>
  <c r="AG48" i="3"/>
  <c r="AH48" i="3" s="1"/>
  <c r="AG49" i="3"/>
  <c r="AH49" i="3" s="1"/>
  <c r="AG24" i="3"/>
  <c r="AH24" i="3" s="1"/>
  <c r="AG25" i="3"/>
  <c r="AH25" i="3" s="1"/>
  <c r="AG27" i="3"/>
  <c r="AH27" i="3" s="1"/>
  <c r="X16" i="3"/>
  <c r="Y16" i="3" s="1"/>
  <c r="E7" i="4" s="1"/>
  <c r="W55" i="3"/>
  <c r="W54" i="3"/>
  <c r="Y30" i="3"/>
  <c r="E9" i="4" s="1"/>
  <c r="AQ52" i="3"/>
  <c r="AI16" i="3" l="1"/>
  <c r="H7" i="4" s="1"/>
  <c r="AI30" i="3"/>
  <c r="H9" i="4" s="1"/>
  <c r="AH10" i="3"/>
  <c r="AI9" i="3" s="1"/>
  <c r="H6" i="4" s="1"/>
  <c r="AG54" i="3"/>
  <c r="AG55" i="3"/>
  <c r="AB2" i="3"/>
  <c r="AI44" i="3"/>
  <c r="H11" i="4" s="1"/>
  <c r="AI37" i="3"/>
  <c r="H10" i="4" s="1"/>
  <c r="AQ45" i="3"/>
  <c r="AR45" i="3" s="1"/>
  <c r="AQ30" i="3"/>
  <c r="AR30" i="3" s="1"/>
  <c r="AQ38" i="3"/>
  <c r="AR38" i="3" s="1"/>
  <c r="AQ7" i="3"/>
  <c r="AR7" i="3" s="1"/>
  <c r="AQ15" i="3"/>
  <c r="AR15" i="3" s="1"/>
  <c r="AQ23" i="3"/>
  <c r="AR23" i="3" s="1"/>
  <c r="AQ31" i="3"/>
  <c r="AR31" i="3" s="1"/>
  <c r="AQ47" i="3"/>
  <c r="AR47" i="3" s="1"/>
  <c r="AQ10" i="3"/>
  <c r="AR10" i="3" s="1"/>
  <c r="AQ34" i="3"/>
  <c r="AR34" i="3" s="1"/>
  <c r="AQ42" i="3"/>
  <c r="AR42" i="3" s="1"/>
  <c r="AQ50" i="3"/>
  <c r="AR50" i="3" s="1"/>
  <c r="AQ40" i="3"/>
  <c r="AR40" i="3" s="1"/>
  <c r="AQ25" i="3"/>
  <c r="AR25" i="3" s="1"/>
  <c r="AQ49" i="3"/>
  <c r="AR49" i="3" s="1"/>
  <c r="AQ2" i="3"/>
  <c r="AQ41" i="3"/>
  <c r="AR41" i="3" s="1"/>
  <c r="AQ12" i="3"/>
  <c r="AR12" i="3" s="1"/>
  <c r="AQ43" i="3"/>
  <c r="AR43" i="3" s="1"/>
  <c r="AQ48" i="3"/>
  <c r="AR48" i="3" s="1"/>
  <c r="AQ33" i="3"/>
  <c r="AR33" i="3" s="1"/>
  <c r="AQ44" i="3"/>
  <c r="AR44" i="3" s="1"/>
  <c r="AQ36" i="3"/>
  <c r="AR36" i="3" s="1"/>
  <c r="AQ27" i="3"/>
  <c r="AR27" i="3" s="1"/>
  <c r="AI23" i="3"/>
  <c r="H8" i="4" s="1"/>
  <c r="AS30" i="3" l="1"/>
  <c r="J9" i="4" s="1"/>
  <c r="AR2" i="3"/>
  <c r="AS2" i="3" s="1"/>
  <c r="J5" i="4" s="1"/>
  <c r="AQ55" i="3"/>
  <c r="AQ54" i="3"/>
  <c r="AS23" i="3"/>
  <c r="J8" i="4" s="1"/>
  <c r="AS9" i="3"/>
  <c r="J6" i="4" s="1"/>
  <c r="AS44" i="3"/>
  <c r="J11" i="4" s="1"/>
  <c r="AS37" i="3"/>
  <c r="J10" i="4" s="1"/>
  <c r="H3" i="7"/>
  <c r="G17" i="7" s="1"/>
  <c r="R43" i="6"/>
  <c r="B7" i="7" l="1"/>
  <c r="B4" i="7"/>
  <c r="B8" i="7"/>
  <c r="B6" i="7"/>
  <c r="W43" i="6"/>
  <c r="B20" i="7" l="1"/>
  <c r="C4" i="7"/>
  <c r="B18" i="7" s="1"/>
  <c r="R46" i="6"/>
  <c r="R45" i="6"/>
  <c r="B3" i="7"/>
  <c r="C7" i="7"/>
  <c r="B21" i="7" s="1"/>
  <c r="C8" i="7"/>
  <c r="B22" i="7" s="1"/>
  <c r="B19" i="7" l="1"/>
  <c r="W46" i="6"/>
  <c r="W45" i="6"/>
  <c r="C3" i="7"/>
  <c r="B17" i="7" s="1"/>
  <c r="AB43" i="6"/>
  <c r="D3" i="7" l="1"/>
  <c r="D7" i="7"/>
  <c r="D4" i="7"/>
  <c r="D8" i="7"/>
  <c r="AB46" i="6"/>
  <c r="AB45" i="6"/>
  <c r="AL43" i="6"/>
  <c r="F7" i="7" l="1"/>
  <c r="D21" i="7" s="1"/>
  <c r="F4" i="7"/>
  <c r="D18" i="7" s="1"/>
  <c r="F3" i="7"/>
  <c r="D17" i="7" s="1"/>
  <c r="F8" i="7" l="1"/>
  <c r="D22" i="7" s="1"/>
  <c r="D19" i="7"/>
  <c r="AL46" i="6"/>
  <c r="AL45" i="6"/>
  <c r="F6" i="7"/>
  <c r="D20" i="7" s="1"/>
  <c r="AQ43" i="6"/>
  <c r="I3" i="7" l="1"/>
  <c r="I4" i="7"/>
  <c r="I6" i="7"/>
  <c r="I7" i="7"/>
  <c r="AQ45" i="6" l="1"/>
  <c r="I8" i="7"/>
  <c r="AQ46" i="6"/>
  <c r="AC23" i="3"/>
  <c r="AC2" i="3"/>
  <c r="AC9" i="3"/>
  <c r="AC44" i="3"/>
  <c r="AC45" i="3"/>
  <c r="AC25" i="3"/>
  <c r="AC47" i="3"/>
  <c r="AC48" i="3"/>
  <c r="AC28" i="3"/>
  <c r="AC39" i="3"/>
  <c r="AC35" i="3"/>
  <c r="AC32" i="3"/>
  <c r="AC7" i="3"/>
  <c r="AC29" i="3"/>
  <c r="AC36" i="3"/>
  <c r="AC38" i="3"/>
  <c r="AC26" i="3"/>
  <c r="AC40" i="3"/>
  <c r="AC46" i="3"/>
  <c r="AC18" i="3"/>
  <c r="AC21" i="3"/>
  <c r="AC6" i="3"/>
  <c r="AC3" i="3"/>
  <c r="AC5" i="3"/>
  <c r="AC19" i="3"/>
  <c r="AC4" i="3"/>
  <c r="AC8" i="3"/>
  <c r="AC22" i="3"/>
  <c r="AC10" i="3"/>
  <c r="AC15" i="3"/>
  <c r="AC11" i="3"/>
  <c r="AC17" i="3"/>
  <c r="AC14" i="3"/>
  <c r="AC12" i="3"/>
  <c r="AB52" i="3"/>
  <c r="AC13" i="3"/>
  <c r="AB31" i="3" l="1"/>
  <c r="AC31" i="3" s="1"/>
  <c r="AB33" i="3"/>
  <c r="AC33" i="3" s="1"/>
  <c r="AB41" i="3"/>
  <c r="AC41" i="3" s="1"/>
  <c r="AB16" i="3"/>
  <c r="AB24" i="3"/>
  <c r="AC24" i="3" s="1"/>
  <c r="AD23" i="3" s="1"/>
  <c r="F8" i="4" s="1"/>
  <c r="AB49" i="3"/>
  <c r="AC49" i="3" s="1"/>
  <c r="AD44" i="3" s="1"/>
  <c r="F11" i="4" s="1"/>
  <c r="AB34" i="3"/>
  <c r="AC34" i="3" s="1"/>
  <c r="AB42" i="3"/>
  <c r="AC42" i="3" s="1"/>
  <c r="AB50" i="3"/>
  <c r="AC50" i="3" s="1"/>
  <c r="AB27" i="3"/>
  <c r="AC27" i="3" s="1"/>
  <c r="AB43" i="3"/>
  <c r="AC43" i="3" s="1"/>
  <c r="AB20" i="3"/>
  <c r="AC20" i="3" s="1"/>
  <c r="AB37" i="3"/>
  <c r="AC37" i="3" s="1"/>
  <c r="AB30" i="3"/>
  <c r="AC30" i="3" s="1"/>
  <c r="AD9" i="3"/>
  <c r="F6" i="4" s="1"/>
  <c r="AD2" i="3"/>
  <c r="F5" i="4" s="1"/>
  <c r="E4" i="7"/>
  <c r="C18" i="7" s="1"/>
  <c r="AG43" i="6"/>
  <c r="AD30" i="3" l="1"/>
  <c r="F9" i="4" s="1"/>
  <c r="AD37" i="3"/>
  <c r="F10" i="4" s="1"/>
  <c r="AB54" i="3"/>
  <c r="AB55" i="3"/>
  <c r="AC16" i="3"/>
  <c r="AD16" i="3" s="1"/>
  <c r="F7" i="4" s="1"/>
  <c r="E7" i="7"/>
  <c r="C21" i="7" s="1"/>
  <c r="E6" i="7"/>
  <c r="C20" i="7" s="1"/>
  <c r="E3" i="7" l="1"/>
  <c r="C17" i="7" s="1"/>
  <c r="E8" i="7"/>
  <c r="C22" i="7" s="1"/>
  <c r="C19" i="7"/>
  <c r="AG46" i="6"/>
  <c r="AG45" i="6"/>
  <c r="AV43" i="6"/>
  <c r="J3" i="7" l="1"/>
  <c r="E17" i="7" s="1"/>
  <c r="J4" i="7" l="1"/>
  <c r="E18" i="7" s="1"/>
  <c r="E19" i="7"/>
  <c r="J8" i="7"/>
  <c r="E22" i="7" s="1"/>
  <c r="J6" i="7"/>
  <c r="E20" i="7" s="1"/>
  <c r="J7" i="7"/>
  <c r="E21" i="7" s="1"/>
  <c r="AV45" i="6"/>
  <c r="AV46" i="6"/>
  <c r="BA43" i="6"/>
  <c r="K3" i="7" l="1"/>
  <c r="K6" i="7" l="1"/>
  <c r="K8" i="7"/>
  <c r="K7" i="7"/>
  <c r="BA46" i="6"/>
  <c r="BA45" i="6"/>
  <c r="K4" i="7"/>
  <c r="BF43" i="6"/>
  <c r="L6" i="7" l="1"/>
  <c r="F20" i="7" s="1"/>
  <c r="L8" i="7" l="1"/>
  <c r="F22" i="7" s="1"/>
  <c r="L4" i="7"/>
  <c r="F18" i="7" s="1"/>
  <c r="F19" i="7"/>
  <c r="L7" i="7"/>
  <c r="F21" i="7" s="1"/>
  <c r="BF45" i="6"/>
  <c r="L3" i="7"/>
  <c r="F17" i="7" s="1"/>
  <c r="BF46" i="6"/>
  <c r="BK43" i="6"/>
  <c r="M7" i="7" l="1"/>
  <c r="M4" i="7" l="1"/>
  <c r="M8" i="7"/>
  <c r="M6" i="7"/>
  <c r="BK45" i="6"/>
  <c r="BK46" i="6"/>
  <c r="M3" i="7"/>
  <c r="BU43" i="6"/>
  <c r="O3" i="7" l="1"/>
  <c r="O8" i="7" l="1"/>
  <c r="O6" i="7"/>
  <c r="O7" i="7"/>
  <c r="BU46" i="6"/>
  <c r="BU45" i="6"/>
  <c r="O4" i="7"/>
  <c r="BP43" i="6"/>
  <c r="H19" i="7" l="1"/>
  <c r="N6" i="7" l="1"/>
  <c r="H20" i="7" s="1"/>
  <c r="N7" i="7"/>
  <c r="H21" i="7" s="1"/>
  <c r="N4" i="7"/>
  <c r="H18" i="7" s="1"/>
  <c r="N8" i="7"/>
  <c r="H22" i="7" s="1"/>
  <c r="BP46" i="6"/>
  <c r="N3" i="7"/>
  <c r="H17" i="7" s="1"/>
  <c r="BP45" i="6"/>
  <c r="BZ43" i="6"/>
  <c r="I19" i="7" l="1"/>
  <c r="P6" i="7"/>
  <c r="I20" i="7" s="1"/>
  <c r="P7" i="7" l="1"/>
  <c r="I21" i="7" s="1"/>
  <c r="P4" i="7"/>
  <c r="I18" i="7" s="1"/>
  <c r="P8" i="7"/>
  <c r="I22" i="7" s="1"/>
  <c r="BZ45" i="6"/>
  <c r="BZ46" i="6"/>
  <c r="P3" i="7"/>
  <c r="I17" i="7" s="1"/>
  <c r="F9" i="8"/>
  <c r="F12" i="8" l="1"/>
  <c r="F11" i="8"/>
  <c r="X9" i="8"/>
  <c r="X11" i="8" l="1"/>
  <c r="X12" i="8"/>
  <c r="AB9" i="8"/>
  <c r="O9" i="8"/>
  <c r="AK9" i="8"/>
  <c r="AK11" i="8" l="1"/>
  <c r="O12" i="8"/>
  <c r="O11" i="8"/>
  <c r="AK12" i="8"/>
  <c r="AB12" i="8"/>
  <c r="AB11" i="8"/>
  <c r="AT12" i="8" l="1"/>
  <c r="AT11" i="8"/>
  <c r="BG9" i="8"/>
  <c r="BG12" i="8" l="1"/>
  <c r="AX12" i="8" s="1"/>
  <c r="BG11" i="8" l="1"/>
  <c r="F17" i="11" l="1"/>
  <c r="F18" i="11"/>
  <c r="I2" i="14"/>
  <c r="AI18" i="11" l="1"/>
  <c r="AI17" i="11"/>
  <c r="J15" i="11"/>
  <c r="J17" i="11" l="1"/>
  <c r="N15" i="11"/>
  <c r="R15" i="11"/>
  <c r="J18" i="11" l="1"/>
  <c r="N17" i="11" l="1"/>
  <c r="N18" i="11"/>
  <c r="R17" i="11"/>
  <c r="R18" i="11"/>
  <c r="AA15" i="11"/>
  <c r="AA18" i="11" l="1"/>
  <c r="AA17" i="11"/>
  <c r="AE18" i="11"/>
  <c r="AE17" i="11"/>
  <c r="F15" i="11"/>
  <c r="AX9" i="8"/>
  <c r="AX11" i="8" l="1"/>
  <c r="AT9" i="8"/>
  <c r="AE15" i="11"/>
  <c r="AI1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tc={C67ACD28-FEDE-434F-AE2A-4BCE74F64D3C}</author>
    <author>Brett Reynolds</author>
  </authors>
  <commentList>
    <comment ref="G1" authorId="0" shapeId="0" xr:uid="{C67ACD28-FEDE-434F-AE2A-4BCE74F64D3C}">
      <text>
        <t>[Threaded comment]
Your version of Excel allows you to read this threaded comment; however, any edits to it will get removed if the file is opened in a newer version of Excel. Learn more: https://go.microsoft.com/fwlink/?linkid=870924
Comment:
    Pointwise mutual information score</t>
      </text>
    </comment>
    <comment ref="B30" authorId="1" shapeId="0" xr:uid="{A0D09B3E-D164-E64A-AFCD-1DD560F1C42D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There is only 1 same.[jj*], so I just  searched for same</t>
        </r>
      </text>
    </comment>
    <comment ref="D30" authorId="1" shapeId="0" xr:uid="{4680071F-8390-0142-8538-D78E74BEB81E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the same</t>
        </r>
      </text>
    </comment>
    <comment ref="AA30" authorId="1" shapeId="0" xr:uid="{8A296F30-EEC3-E446-9CFE-DCDFA6AE0441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85 but not relevant</t>
        </r>
      </text>
    </comment>
    <comment ref="AF30" authorId="1" shapeId="0" xr:uid="{EFE9D628-9B11-4141-AC43-37F59E7F033E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85 but not relevant</t>
        </r>
      </text>
    </comment>
    <comment ref="AK30" authorId="1" shapeId="0" xr:uid="{60A2E134-B908-5A4B-970B-52E6A3819B18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85 but not relevant</t>
        </r>
      </text>
    </comment>
    <comment ref="AP30" authorId="1" shapeId="0" xr:uid="{B726DA21-BE93-7747-A37C-D9EED3863E07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85 but not relevant</t>
        </r>
      </text>
    </comment>
    <comment ref="AJ51" authorId="1" shapeId="0" xr:uid="{C4EF1DAE-73E7-5149-A5C0-C7C569DD16CB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See "no" tab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Brett Reynolds</author>
  </authors>
  <commentList>
    <comment ref="BN24" authorId="0" shapeId="0" xr:uid="{B1BF5F67-0D36-4D49-AC5A-E8EE02374C42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genuine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Brett Reynolds</author>
  </authors>
  <commentList>
    <comment ref="AH4" authorId="0" shapeId="0" xr:uid="{898F9814-9B0E-3844-BCA0-868E13966660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This includes much more, where the category of more is in dispute here.</t>
        </r>
      </text>
    </comment>
    <comment ref="N6" authorId="0" shapeId="0" xr:uid="{D7C0AA94-286C-7448-A917-37F09AFF8D91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more or less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Brett Reynolds</author>
  </authors>
  <commentList>
    <comment ref="E3" authorId="0" shapeId="0" xr:uid="{67FFFB57-F545-EC48-AC9B-A7B2EC6C9A51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repeats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Brett Reynolds</author>
  </authors>
  <commentList>
    <comment ref="H2" authorId="0" shapeId="0" xr:uid="{4E0E4709-3AC4-B14A-91B9-D838968F9F0E}">
      <text>
        <r>
          <rPr>
            <b/>
            <sz val="10"/>
            <color rgb="FF000000"/>
            <rFont val="Tahoma"/>
            <family val="2"/>
          </rPr>
          <t>Brett Reynolds: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1/100 sample</t>
        </r>
      </text>
    </comment>
  </commentList>
</comments>
</file>

<file path=xl/sharedStrings.xml><?xml version="1.0" encoding="utf-8"?>
<sst xmlns="http://schemas.openxmlformats.org/spreadsheetml/2006/main" count="839" uniqueCount="350">
  <si>
    <t>count</t>
  </si>
  <si>
    <t>Total</t>
  </si>
  <si>
    <t>-very much -JJR</t>
  </si>
  <si>
    <t>-very much JJ</t>
  </si>
  <si>
    <t>-very much JJR</t>
  </si>
  <si>
    <t>-very much more JJ</t>
  </si>
  <si>
    <t>Count</t>
  </si>
  <si>
    <t>fast</t>
  </si>
  <si>
    <t>small</t>
  </si>
  <si>
    <t>high</t>
  </si>
  <si>
    <t>big</t>
  </si>
  <si>
    <t>slow</t>
  </si>
  <si>
    <t>low</t>
  </si>
  <si>
    <t>hard</t>
  </si>
  <si>
    <t>young</t>
  </si>
  <si>
    <t>old</t>
  </si>
  <si>
    <t>-very much low/fast/small/hard/young/slow/high PUNC</t>
  </si>
  <si>
    <t>intelligent</t>
  </si>
  <si>
    <t>fortunate</t>
  </si>
  <si>
    <t>generous</t>
  </si>
  <si>
    <t>expensive</t>
  </si>
  <si>
    <t>dangerous</t>
  </si>
  <si>
    <t>embarrassing</t>
  </si>
  <si>
    <t>comfortable</t>
  </si>
  <si>
    <t>bigger</t>
  </si>
  <si>
    <t>faster</t>
  </si>
  <si>
    <t>harder</t>
  </si>
  <si>
    <t>slower</t>
  </si>
  <si>
    <t>smaller</t>
  </si>
  <si>
    <t>softer</t>
  </si>
  <si>
    <t>younger</t>
  </si>
  <si>
    <t>-very much younger/bigger/slower/smaller/softer/harder/faster PUNC</t>
  </si>
  <si>
    <t>different</t>
  </si>
  <si>
    <t>dissimilar</t>
  </si>
  <si>
    <t>inferior</t>
  </si>
  <si>
    <t>superior</t>
  </si>
  <si>
    <t>unequal</t>
  </si>
  <si>
    <t>distinct</t>
  </si>
  <si>
    <t>separate</t>
  </si>
  <si>
    <t>analogous</t>
  </si>
  <si>
    <t>equal</t>
  </si>
  <si>
    <t>equivalent</t>
  </si>
  <si>
    <t>identical</t>
  </si>
  <si>
    <t>parallel</t>
  </si>
  <si>
    <t>same</t>
  </si>
  <si>
    <t>similar</t>
  </si>
  <si>
    <t>-very much same/analogous/equivalent/parallel/identical/equal/similar PUNC</t>
  </si>
  <si>
    <t>afloat</t>
  </si>
  <si>
    <t>afraid</t>
  </si>
  <si>
    <t>alike</t>
  </si>
  <si>
    <t>alive</t>
  </si>
  <si>
    <t>alone</t>
  </si>
  <si>
    <t>asleep</t>
  </si>
  <si>
    <t>averse</t>
  </si>
  <si>
    <t>ablaze</t>
  </si>
  <si>
    <t>-very much afloat/afraid/alive/alone/asleep/averse/ablaze PUNC</t>
  </si>
  <si>
    <t>amused</t>
  </si>
  <si>
    <t>confused</t>
  </si>
  <si>
    <t>driven</t>
  </si>
  <si>
    <t>excited</t>
  </si>
  <si>
    <t>improved</t>
  </si>
  <si>
    <t>increased</t>
  </si>
  <si>
    <t>reduced</t>
  </si>
  <si>
    <t>-very much amused/confused/driven/excited/improved/increased/reduced PUNC</t>
  </si>
  <si>
    <t>query</t>
  </si>
  <si>
    <t>-very much dangerous/fortunate/generous/embarrassing/intelligent/expensive/comfortable PUNC</t>
  </si>
  <si>
    <t>-very much separate/distinct/dissimilar/superior/unequal/inferior/different PUNC</t>
  </si>
  <si>
    <t>much</t>
  </si>
  <si>
    <t>Word</t>
  </si>
  <si>
    <t>*.[jj*]</t>
  </si>
  <si>
    <t>-very much *.[jj*] PUNC</t>
  </si>
  <si>
    <t>more *.[jj*] PUNC</t>
  </si>
  <si>
    <t>WPM</t>
  </si>
  <si>
    <t>Word Count</t>
  </si>
  <si>
    <t>-very much</t>
  </si>
  <si>
    <t>*.[jj*] PUNC</t>
  </si>
  <si>
    <t>PMI</t>
  </si>
  <si>
    <t>less *.[jj*] PUNC</t>
  </si>
  <si>
    <t>average</t>
  </si>
  <si>
    <t>Z-score</t>
  </si>
  <si>
    <t>stdev</t>
  </si>
  <si>
    <t>average Z</t>
  </si>
  <si>
    <t>less</t>
  </si>
  <si>
    <t>more</t>
  </si>
  <si>
    <t>average fixed value</t>
  </si>
  <si>
    <t>stdev fixed value</t>
  </si>
  <si>
    <t>*.[jj*] enough</t>
  </si>
  <si>
    <t>enough</t>
  </si>
  <si>
    <t>that</t>
  </si>
  <si>
    <t>-a little</t>
  </si>
  <si>
    <t>-a little *.[jj*] PUNC</t>
  </si>
  <si>
    <t>no *.[jj*] PUNC</t>
  </si>
  <si>
    <t>any *.[jj*] PUNC</t>
  </si>
  <si>
    <t>Adjective group</t>
  </si>
  <si>
    <t>Modifier</t>
  </si>
  <si>
    <t xml:space="preserve">more </t>
  </si>
  <si>
    <t>little</t>
  </si>
  <si>
    <t>no</t>
  </si>
  <si>
    <t>any</t>
  </si>
  <si>
    <t>recent</t>
  </si>
  <si>
    <t>  NO (AT)</t>
  </si>
  <si>
    <t>  NO (UH)</t>
  </si>
  <si>
    <t>  NO (XX)</t>
  </si>
  <si>
    <t>  NO (PN121)</t>
  </si>
  <si>
    <t>  NO (RR21)</t>
  </si>
  <si>
    <t>  NO (AT_UH)</t>
  </si>
  <si>
    <t>  NO (AT_RR%)</t>
  </si>
  <si>
    <t>  NO (DDQV31)</t>
  </si>
  <si>
    <t>  NO (#NN1)</t>
  </si>
  <si>
    <t>  NO (RGQV31)</t>
  </si>
  <si>
    <t>  NO (NN1)</t>
  </si>
  <si>
    <t>  NO (RR%_AT)</t>
  </si>
  <si>
    <t>  NO (ZZ)</t>
  </si>
  <si>
    <t>  NO (UH_AT)</t>
  </si>
  <si>
    <t>  NO (RRQV31)</t>
  </si>
  <si>
    <t>  NO (RR32)</t>
  </si>
  <si>
    <t>  NO (AT_NN1%)</t>
  </si>
  <si>
    <t>  NO (RR)</t>
  </si>
  <si>
    <t>  NO (RR%)</t>
  </si>
  <si>
    <t>  NO (NN1%)</t>
  </si>
  <si>
    <t>  NO (RR21_AT)</t>
  </si>
  <si>
    <t>  NO (PNQS31)</t>
  </si>
  <si>
    <t>  NO (UH_RR%)</t>
  </si>
  <si>
    <t>  NO (VVI)</t>
  </si>
  <si>
    <t>  NO (#UH)</t>
  </si>
  <si>
    <t>  NO (NN1%_RR%)</t>
  </si>
  <si>
    <t>  NO (RR%_UH)</t>
  </si>
  <si>
    <t>  NO (RR%_NN1%)</t>
  </si>
  <si>
    <t>  NO (RRQV31_RGQV31)</t>
  </si>
  <si>
    <t>  NO (NN1%_UH)</t>
  </si>
  <si>
    <t>  NO (UH_RR%_NN1%)</t>
  </si>
  <si>
    <t>  NO (AT_UH_RR%)</t>
  </si>
  <si>
    <t>  NO (UH_RR%_AT)</t>
  </si>
  <si>
    <t>  NO (RR%_AT_UH)</t>
  </si>
  <si>
    <t>  NO (AT_RR%_UH)</t>
  </si>
  <si>
    <t>  NO (UH_NN1%)</t>
  </si>
  <si>
    <t>  NO (UH_AT_RR%)</t>
  </si>
  <si>
    <t>  NO (NN1%_AT_RR%)</t>
  </si>
  <si>
    <t>  NO (RGQV31_RRQV31)</t>
  </si>
  <si>
    <t>  NO (X)</t>
  </si>
  <si>
    <t>  NO (AT_RR%_NN1%)</t>
  </si>
  <si>
    <t>  NO (AT_UH_NN1%)</t>
  </si>
  <si>
    <t>  NO (NN1%_RR%_UH)</t>
  </si>
  <si>
    <t>  NO (RR%_AT_NN1%)</t>
  </si>
  <si>
    <t>  NO (RR%_NN1%_UH)</t>
  </si>
  <si>
    <t>  NO (RR%_UH_AT)</t>
  </si>
  <si>
    <t>  NO (RR%_UH_NN1%)</t>
  </si>
  <si>
    <t>  NO (UH_NN1%_RR%)</t>
  </si>
  <si>
    <t>  NO (AT_NN1%_RR%)</t>
  </si>
  <si>
    <t>  NO (NN1%_RR%_AT)</t>
  </si>
  <si>
    <t>  NO (NN1%_AT)</t>
  </si>
  <si>
    <t>  NO (NN1%_UH_RR%)</t>
  </si>
  <si>
    <t>  NO (#NP1)</t>
  </si>
  <si>
    <t>  NO (#AT)</t>
  </si>
  <si>
    <t>  NO (AT_RR21)</t>
  </si>
  <si>
    <t>  NO (AT_NN1%_UH)</t>
  </si>
  <si>
    <t>  NO (RR%_UH_NN1%_AT)</t>
  </si>
  <si>
    <t>  NO (RR%_NN1%_AT)</t>
  </si>
  <si>
    <t>  NO (JJ)</t>
  </si>
  <si>
    <t>  NO (DDQGE31)</t>
  </si>
  <si>
    <t>  NO (NN1%_UH_AT)</t>
  </si>
  <si>
    <t>  NO (PNQV31)</t>
  </si>
  <si>
    <t>  NO (NN1%_AT_UH_RR%)</t>
  </si>
  <si>
    <t>  NO (NP1)</t>
  </si>
  <si>
    <t>  NO (#UH_AT)</t>
  </si>
  <si>
    <t>  NO (XXY)</t>
  </si>
  <si>
    <t>  NO (NN1%_AT_UH)</t>
  </si>
  <si>
    <t>  NO (UH_RR%_AT_NN1%)</t>
  </si>
  <si>
    <t>  NO (UH_AT_NN1%)</t>
  </si>
  <si>
    <t>  NO (UH_AT_RR%_NN1%)</t>
  </si>
  <si>
    <t>  NO (AT_RR%_NN1%_UH)</t>
  </si>
  <si>
    <t>  NO (AT_UH_NN1%_RR%)</t>
  </si>
  <si>
    <t>  NO (PPH1)</t>
  </si>
  <si>
    <t>  NO (NN1%_RR%_AT_UH)</t>
  </si>
  <si>
    <t>  NO (UH_AT_NN1%_RR%)</t>
  </si>
  <si>
    <t>  NO (AT_RR%_UH_NN1%)</t>
  </si>
  <si>
    <t>  NO (NN1%_UH_AT_RR%)</t>
  </si>
  <si>
    <t>  NO (UH_NN1%_AT_RR%)</t>
  </si>
  <si>
    <t>  NO (NN1_JJ)</t>
  </si>
  <si>
    <t>  NO (AT_NN1%_UH_RR%)</t>
  </si>
  <si>
    <t>  NO (#JJ)</t>
  </si>
  <si>
    <t>  NO (PPHS1)</t>
  </si>
  <si>
    <t>  NO (NN1%_AT_RR%_UH)</t>
  </si>
  <si>
    <t>  NO (#AT_UH)</t>
  </si>
  <si>
    <t>  NO (##NN1_JJ)</t>
  </si>
  <si>
    <t>  NO (AT_UH_RR%_NN1%)</t>
  </si>
  <si>
    <t>  NO (RR%_UH_AT_NN1%)</t>
  </si>
  <si>
    <t>  NO (##JJ_NN1)</t>
  </si>
  <si>
    <t>  NO (#JJ_NN1%)</t>
  </si>
  <si>
    <t>  NO (PPY)</t>
  </si>
  <si>
    <t>  NO (NN1%_JJ)</t>
  </si>
  <si>
    <t>  NO (UH_RR%_NN1%_AT)</t>
  </si>
  <si>
    <t>  NO (NN1%_RR%_UH_AT)</t>
  </si>
  <si>
    <t>  NO (##NN1)</t>
  </si>
  <si>
    <t>  NO (FO)</t>
  </si>
  <si>
    <t>  NO (AT_NN1%_RR%_UH)</t>
  </si>
  <si>
    <t>  NO (RR%_NN1%_AT_UH)</t>
  </si>
  <si>
    <t>  NO (#NN1_JJ)</t>
  </si>
  <si>
    <t>  NO (UH_NN1%_AT)</t>
  </si>
  <si>
    <t>  NO (UH_NN1%_RR%_AT)</t>
  </si>
  <si>
    <t>  NO (CSA_II@)</t>
  </si>
  <si>
    <t>  NO (RR%_NN1%_UH_AT)</t>
  </si>
  <si>
    <t>  NO (RR%_PN121)</t>
  </si>
  <si>
    <t>  NO (RR%_AT_NN1%_UH)</t>
  </si>
  <si>
    <t>  NO (PN121_RR%)</t>
  </si>
  <si>
    <t>  NO (NN1%_UH_RR%_AT)</t>
  </si>
  <si>
    <t>  NO (NN1@_JJ)</t>
  </si>
  <si>
    <t>omit</t>
  </si>
  <si>
    <t>any the same PUNC</t>
  </si>
  <si>
    <t xml:space="preserve"> *.[jj*] </t>
  </si>
  <si>
    <t xml:space="preserve"> *.[jj*] PUNC </t>
  </si>
  <si>
    <t>-very much fast.[jj*] PUNC</t>
  </si>
  <si>
    <t>-very much small.[jj*] PUNC</t>
  </si>
  <si>
    <t>-very much hard.[jj*] PUNC</t>
  </si>
  <si>
    <t>-very much young.[jj*] PUNC</t>
  </si>
  <si>
    <t>-very much high.[jj*] PUNC</t>
  </si>
  <si>
    <t>-very much dangerous.[jj*] PUNC</t>
  </si>
  <si>
    <t>-very much fortunate.[jj*] PUNC</t>
  </si>
  <si>
    <t>-very much generous.[jj*] PUNC</t>
  </si>
  <si>
    <t>-very much embarrassing.[jj*] PUNC</t>
  </si>
  <si>
    <t>-very much intelligent.[jj*] PUNC</t>
  </si>
  <si>
    <t>-very much expensive.[jj*] PUNC</t>
  </si>
  <si>
    <t>-very much comfortable.[jj*] PUNC</t>
  </si>
  <si>
    <t>-very much younger.[jj*] PUNC</t>
  </si>
  <si>
    <t>-very much bigger.[jj*] PUNC</t>
  </si>
  <si>
    <t>-very much slower.[jj*] PUNC</t>
  </si>
  <si>
    <t>-very much smaller.[jj*] PUNC</t>
  </si>
  <si>
    <t>-very much harder.[jj*] PUNC</t>
  </si>
  <si>
    <t>-very much faster.[jj*] PUNC</t>
  </si>
  <si>
    <t>-very much separate.[jj*] PUNC</t>
  </si>
  <si>
    <t>-very much distinct.[jj*] PUNC</t>
  </si>
  <si>
    <t>-very much superior.[jj*] PUNC</t>
  </si>
  <si>
    <t>-very much unequal.[jj*] PUNC</t>
  </si>
  <si>
    <t>-very much inferior.[jj*] PUNC</t>
  </si>
  <si>
    <t>-very much different.[jj*] PUNC</t>
  </si>
  <si>
    <t>-very much afraid.[jj*] PUNC</t>
  </si>
  <si>
    <t>-very much alive.[jj*] PUNC</t>
  </si>
  <si>
    <t>-very much alone.[jj*] PUNC</t>
  </si>
  <si>
    <t>-very much improved.[jj*] PUNC</t>
  </si>
  <si>
    <t>preferable</t>
  </si>
  <si>
    <t>interested</t>
  </si>
  <si>
    <t>concerned</t>
  </si>
  <si>
    <t>beloved</t>
  </si>
  <si>
    <t>surprised</t>
  </si>
  <si>
    <t>aware</t>
  </si>
  <si>
    <t>pleased</t>
  </si>
  <si>
    <t xml:space="preserve"> *.[jj*] [i*] </t>
  </si>
  <si>
    <t>-very much *.[jj*] [i*]</t>
  </si>
  <si>
    <t>strong</t>
  </si>
  <si>
    <t>-very much old.[jj*] PUNC</t>
  </si>
  <si>
    <t>-very much strong.[jj*] PUNC</t>
  </si>
  <si>
    <t>more *.[jj*] [i*]</t>
  </si>
  <si>
    <t>delighted</t>
  </si>
  <si>
    <t>-very much delighted.[jj*] PUNC</t>
  </si>
  <si>
    <t>-very much pleased.[jj*] PUNC</t>
  </si>
  <si>
    <t>-very much aware.[jj*] PUNC</t>
  </si>
  <si>
    <t>-very much concerned.[jj*] PUNC</t>
  </si>
  <si>
    <t>-very much beloved.[jj*] PUNC</t>
  </si>
  <si>
    <t>-very much interested.[jj*] PUNC</t>
  </si>
  <si>
    <t>-very much surprised.[jj*] PUNC</t>
  </si>
  <si>
    <t>that.[r*] *.[jj*] PUNC</t>
  </si>
  <si>
    <t>less *.[jj*] [i*]</t>
  </si>
  <si>
    <t>that.[r*] *.[jj*] [i*]</t>
  </si>
  <si>
    <t>that.[r*]</t>
  </si>
  <si>
    <t>-very much alike PUNC</t>
  </si>
  <si>
    <t>no *.[jj*] [i*]</t>
  </si>
  <si>
    <t>-a little *.[jj*] [i*]</t>
  </si>
  <si>
    <t>any *.[jj*] [i*]</t>
  </si>
  <si>
    <t>PUNC</t>
  </si>
  <si>
    <t>[i*]</t>
  </si>
  <si>
    <t>a little</t>
  </si>
  <si>
    <t>N/A</t>
  </si>
  <si>
    <t>Disqualfied</t>
  </si>
  <si>
    <r>
      <rPr>
        <i/>
        <sz val="12"/>
        <color theme="1"/>
        <rFont val="Calibri"/>
        <family val="2"/>
        <scheme val="minor"/>
      </rPr>
      <t>recently</t>
    </r>
    <r>
      <rPr>
        <sz val="12"/>
        <color theme="1"/>
        <rFont val="Calibri"/>
        <family val="2"/>
        <scheme val="minor"/>
      </rPr>
      <t>.[r*]</t>
    </r>
  </si>
  <si>
    <t>fast.[r*]</t>
  </si>
  <si>
    <t>differently.[r*]</t>
  </si>
  <si>
    <t>equally.[r*]</t>
  </si>
  <si>
    <t>too.[r*]</t>
  </si>
  <si>
    <t>a little.[r*]</t>
  </si>
  <si>
    <t>near</t>
  </si>
  <si>
    <t>nearer</t>
  </si>
  <si>
    <t>short of</t>
  </si>
  <si>
    <t>like her</t>
  </si>
  <si>
    <t>above the</t>
  </si>
  <si>
    <t>along the</t>
  </si>
  <si>
    <t>up to</t>
  </si>
  <si>
    <t>all</t>
  </si>
  <si>
    <t>that.[d*]</t>
  </si>
  <si>
    <t>lots</t>
  </si>
  <si>
    <t>-at all</t>
  </si>
  <si>
    <t>amazingly</t>
  </si>
  <si>
    <t>slightly</t>
  </si>
  <si>
    <t>far</t>
  </si>
  <si>
    <t>very</t>
  </si>
  <si>
    <t>biggest</t>
  </si>
  <si>
    <t>most</t>
  </si>
  <si>
    <t>least</t>
  </si>
  <si>
    <r>
      <t>little</t>
    </r>
    <r>
      <rPr>
        <sz val="12"/>
        <color theme="1"/>
        <rFont val="Calibri"/>
        <family val="2"/>
        <scheme val="minor"/>
      </rPr>
      <t xml:space="preserve">.[d*] + </t>
    </r>
    <r>
      <rPr>
        <i/>
        <sz val="12"/>
        <color theme="1"/>
        <rFont val="Calibri"/>
        <family val="2"/>
        <scheme val="minor"/>
      </rPr>
      <t>little</t>
    </r>
    <r>
      <rPr>
        <sz val="12"/>
        <color theme="1"/>
        <rFont val="Calibri"/>
        <family val="2"/>
        <scheme val="minor"/>
      </rPr>
      <t>.[r*]</t>
    </r>
  </si>
  <si>
    <t>how.[r*]</t>
  </si>
  <si>
    <t>too</t>
  </si>
  <si>
    <t>DQ</t>
  </si>
  <si>
    <t>better</t>
  </si>
  <si>
    <t>-very much better.[jj*] PUNC</t>
  </si>
  <si>
    <t>much-PUNC</t>
  </si>
  <si>
    <t>more-PUNC</t>
  </si>
  <si>
    <t>less-PUNC</t>
  </si>
  <si>
    <t>no-PUNC</t>
  </si>
  <si>
    <t>any-PUNC</t>
  </si>
  <si>
    <t>much-PREP</t>
  </si>
  <si>
    <t>more-PREP</t>
  </si>
  <si>
    <t>less-PREP</t>
  </si>
  <si>
    <t>no-PREP</t>
  </si>
  <si>
    <t>any-PREP</t>
  </si>
  <si>
    <t>that-PUNC</t>
  </si>
  <si>
    <t>that-PREP</t>
  </si>
  <si>
    <t>little-PUNC</t>
  </si>
  <si>
    <t>little-PREP</t>
  </si>
  <si>
    <t>prep</t>
  </si>
  <si>
    <t>Avg PMI</t>
  </si>
  <si>
    <t>remarkably</t>
  </si>
  <si>
    <t>amazingly/remarkably</t>
  </si>
  <si>
    <t>JJR</t>
  </si>
  <si>
    <t>JJT</t>
  </si>
  <si>
    <t>-very much JJR PUNC</t>
  </si>
  <si>
    <t>comparatives</t>
  </si>
  <si>
    <t>*.[rrr*]</t>
  </si>
  <si>
    <t>comparative</t>
  </si>
  <si>
    <t>amazingly JJR</t>
  </si>
  <si>
    <t>remarkably JJR</t>
  </si>
  <si>
    <t>slightly JJR</t>
  </si>
  <si>
    <t>far JJR</t>
  </si>
  <si>
    <t>very JJR</t>
  </si>
  <si>
    <t>Head</t>
  </si>
  <si>
    <r>
      <t>little</t>
    </r>
    <r>
      <rPr>
        <sz val="12"/>
        <color theme="1"/>
        <rFont val="Calibri"/>
        <family val="2"/>
        <scheme val="minor"/>
      </rPr>
      <t>_D+Adv</t>
    </r>
  </si>
  <si>
    <t>how</t>
  </si>
  <si>
    <t>recently</t>
  </si>
  <si>
    <t>differently</t>
  </si>
  <si>
    <t>equally</t>
  </si>
  <si>
    <r>
      <t>Word Count</t>
    </r>
    <r>
      <rPr>
        <sz val="12"/>
        <color theme="1"/>
        <rFont val="Calibri"/>
        <family val="2"/>
        <scheme val="minor"/>
      </rPr>
      <t>: The count of occurrences of these word combinations.</t>
    </r>
  </si>
  <si>
    <r>
      <t>WPM</t>
    </r>
    <r>
      <rPr>
        <sz val="12"/>
        <color theme="1"/>
        <rFont val="Calibri"/>
        <family val="2"/>
        <scheme val="minor"/>
      </rPr>
      <t>: Words per million.</t>
    </r>
  </si>
  <si>
    <t>The "Counts" sheet lists counts from COCA and corresponding queries. Here's an overview of the columns based on the first few rows:</t>
  </si>
  <si>
    <r>
      <rPr>
        <b/>
        <sz val="12"/>
        <color theme="1"/>
        <rFont val="Calibri"/>
        <family val="2"/>
        <scheme val="minor"/>
      </rPr>
      <t>A:</t>
    </r>
    <r>
      <rPr>
        <sz val="12"/>
        <color theme="1"/>
        <rFont val="Calibri"/>
        <family val="2"/>
        <scheme val="minor"/>
      </rPr>
      <t xml:space="preserve"> Counts of occurrences.</t>
    </r>
  </si>
  <si>
    <r>
      <t>B:</t>
    </r>
    <r>
      <rPr>
        <sz val="12"/>
        <color theme="1"/>
        <rFont val="Calibri"/>
        <family val="2"/>
        <scheme val="minor"/>
      </rPr>
      <t xml:space="preserve"> Queries or descriptions of word combinations.</t>
    </r>
  </si>
  <si>
    <t>The "WPM" sheet contains data related to word counts and their occurrences per million words (WPM). Here's an overview of the columns</t>
  </si>
  <si>
    <t>Query</t>
  </si>
  <si>
    <r>
      <t>Query</t>
    </r>
    <r>
      <rPr>
        <sz val="12"/>
        <color theme="1"/>
        <rFont val="Calibri"/>
        <family val="2"/>
        <scheme val="minor"/>
      </rPr>
      <t>: The query text used in COCA (e.g., "-very much -JJR").</t>
    </r>
  </si>
  <si>
    <r>
      <t>Total</t>
    </r>
    <r>
      <rPr>
        <sz val="12"/>
        <color theme="1"/>
        <rFont val="Calibri"/>
        <family val="2"/>
        <scheme val="minor"/>
      </rPr>
      <t>: Total word count in COCA.</t>
    </r>
  </si>
  <si>
    <t>Judged invalid</t>
  </si>
  <si>
    <t>Modified count</t>
  </si>
  <si>
    <t>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</si>
</sst>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theme="1"/>
      <name val="Arial Unicode MS"/>
      <family val="2"/>
    </font>
    <font>
      <sz val="12"/>
      <color rgb="FFFFFFFF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0" fillId="0" borderId="0" xfId="0" quotePrefix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43" fontId="0" fillId="0" borderId="0" xfId="0" applyNumberFormat="1"/>
    <xf numFmtId="43" fontId="5" fillId="0" borderId="0" xfId="1" applyFont="1"/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43" fontId="8" fillId="0" borderId="0" xfId="0" applyNumberFormat="1" applyFont="1"/>
    <xf numFmtId="0" fontId="9" fillId="0" borderId="0" xfId="0" applyFont="1"/>
    <xf numFmtId="0" fontId="10" fillId="0" borderId="0" xfId="0" applyFont="1"/>
    <xf numFmtId="0" fontId="8" fillId="0" borderId="0" xfId="0" quotePrefix="1" applyFont="1"/>
    <xf numFmtId="43" fontId="10" fillId="0" borderId="0" xfId="0" applyNumberFormat="1" applyFont="1"/>
    <xf numFmtId="43" fontId="6" fillId="0" borderId="0" xfId="0" applyNumberFormat="1" applyFont="1"/>
    <xf numFmtId="43" fontId="10" fillId="0" borderId="0" xfId="1" applyFont="1"/>
    <xf numFmtId="0" fontId="0" fillId="0" borderId="0" xfId="0" applyAlignment="1">
      <alignment horizontal="center"/>
    </xf>
    <xf numFmtId="2" fontId="0" fillId="0" borderId="0" xfId="0" applyNumberFormat="1"/>
    <xf numFmtId="0" fontId="7" fillId="0" borderId="0" xfId="0" quotePrefix="1" applyFont="1"/>
    <xf numFmtId="0" fontId="8" fillId="2" borderId="0" xfId="0" applyFont="1" applyFill="1"/>
    <xf numFmtId="164" fontId="8" fillId="2" borderId="0" xfId="0" applyNumberFormat="1" applyFont="1" applyFill="1"/>
    <xf numFmtId="43" fontId="8" fillId="2" borderId="0" xfId="0" applyNumberFormat="1" applyFont="1" applyFill="1"/>
    <xf numFmtId="0" fontId="0" fillId="2" borderId="0" xfId="0" applyFill="1"/>
    <xf numFmtId="0" fontId="8" fillId="2" borderId="0" xfId="0" quotePrefix="1" applyFont="1" applyFill="1"/>
    <xf numFmtId="2" fontId="0" fillId="0" borderId="0" xfId="1" applyNumberFormat="1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11" fillId="0" borderId="0" xfId="0" applyFont="1"/>
    <xf numFmtId="164" fontId="11" fillId="0" borderId="0" xfId="0" applyNumberFormat="1" applyFont="1"/>
    <xf numFmtId="43" fontId="11" fillId="0" borderId="0" xfId="0" applyNumberFormat="1" applyFont="1"/>
    <xf numFmtId="43" fontId="11" fillId="0" borderId="0" xfId="1" applyFont="1"/>
    <xf numFmtId="0" fontId="11" fillId="0" borderId="0" xfId="0" quotePrefix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0" fillId="0" borderId="0" xfId="0" applyFont="1"/>
    <xf numFmtId="164" fontId="2" fillId="0" borderId="0" xfId="1" applyNumberFormat="1" applyFont="1"/>
    <xf numFmtId="0" fontId="2" fillId="0" borderId="0" xfId="0" quotePrefix="1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rett Reynolds" id="{840DCDA6-767D-784B-AA23-884912D4AC10}" userId="ede31fe74ecdeb4d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24-05-27T13:34:04.21" personId="{840DCDA6-767D-784B-AA23-884912D4AC10}" id="{C67ACD28-FEDE-434F-AE2A-4BCE74F64D3C}">
    <text>Pointwise mutual information score</text>
  </threadedComment>
</ThreadedComment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B14EF-8650-3A4A-907F-3D1C39D3FEA9}">
  <dimension ref="B2:E19"/>
  <sheetViews>
    <sheetView zoomScale="150" zoomScaleNormal="150" workbookViewId="0">
      <selection activeCell="B19" sqref="B19"/>
    </sheetView>
  </sheetViews>
  <sheetFormatPr baseColWidth="10" defaultRowHeight="16" x14ac:dyDescent="0.2"/>
  <cols>
    <col min="2" max="2" width="17" bestFit="1" customWidth="1"/>
    <col min="3" max="3" width="12.5" bestFit="1" customWidth="1"/>
    <col min="4" max="4" width="14" bestFit="1" customWidth="1"/>
  </cols>
  <sheetData>
    <row r="2" spans="2:5" x14ac:dyDescent="0.2">
      <c r="B2" t="s">
        <v>344</v>
      </c>
      <c r="C2" s="4" t="s">
        <v>73</v>
      </c>
      <c r="D2" s="4" t="s">
        <v>1</v>
      </c>
      <c r="E2" s="4" t="s">
        <v>72</v>
      </c>
    </row>
    <row r="3" spans="2:5" x14ac:dyDescent="0.2">
      <c r="B3" s="3" t="s">
        <v>2</v>
      </c>
      <c r="C3" s="2">
        <v>890545</v>
      </c>
      <c r="D3" s="7">
        <v>1002889754</v>
      </c>
      <c r="E3" s="1">
        <f>C3/D3*1000000</f>
        <v>887.97895925058981</v>
      </c>
    </row>
    <row r="4" spans="2:5" x14ac:dyDescent="0.2">
      <c r="B4" s="3" t="s">
        <v>3</v>
      </c>
      <c r="C4" s="2">
        <v>107063</v>
      </c>
      <c r="D4" s="7">
        <v>1002889754</v>
      </c>
      <c r="E4" s="1">
        <f t="shared" ref="E4:E6" si="0">C4/D4*1000000</f>
        <v>106.75450574001975</v>
      </c>
    </row>
    <row r="5" spans="2:5" x14ac:dyDescent="0.2">
      <c r="B5" s="3" t="s">
        <v>4</v>
      </c>
      <c r="C5" s="2">
        <v>81164</v>
      </c>
      <c r="D5" s="7">
        <v>1002889754</v>
      </c>
      <c r="E5" s="1">
        <f t="shared" si="0"/>
        <v>80.930131827829996</v>
      </c>
    </row>
    <row r="6" spans="2:5" x14ac:dyDescent="0.2">
      <c r="B6" s="3" t="s">
        <v>5</v>
      </c>
      <c r="C6" s="2">
        <v>35097</v>
      </c>
      <c r="D6" s="7">
        <v>1002889754</v>
      </c>
      <c r="E6" s="1">
        <f t="shared" si="0"/>
        <v>34.995870543114549</v>
      </c>
    </row>
    <row r="7" spans="2:5" x14ac:dyDescent="0.2">
      <c r="C7" s="2"/>
    </row>
    <row r="8" spans="2:5" x14ac:dyDescent="0.2">
      <c r="C8" s="2"/>
      <c r="D8" s="2"/>
    </row>
    <row r="9" spans="2:5" x14ac:dyDescent="0.2">
      <c r="C9" s="2"/>
      <c r="D9" s="2"/>
    </row>
    <row r="10" spans="2:5" x14ac:dyDescent="0.2">
      <c r="C10" s="2"/>
      <c r="D10" s="2"/>
    </row>
    <row r="11" spans="2:5" x14ac:dyDescent="0.2">
      <c r="C11" s="2"/>
      <c r="D11" s="2"/>
    </row>
    <row r="12" spans="2:5" x14ac:dyDescent="0.2">
      <c r="C12" s="2"/>
      <c r="D12" s="2"/>
    </row>
    <row r="13" spans="2:5" x14ac:dyDescent="0.2">
      <c r="B13" t="s">
        <v>343</v>
      </c>
      <c r="C13" s="2"/>
      <c r="D13" s="2"/>
    </row>
    <row r="14" spans="2:5" x14ac:dyDescent="0.2">
      <c r="C14" s="2"/>
      <c r="D14" s="2"/>
    </row>
    <row r="15" spans="2:5" x14ac:dyDescent="0.2">
      <c r="B15" s="5"/>
      <c r="C15" s="2"/>
      <c r="D15" s="2"/>
    </row>
    <row r="16" spans="2:5" x14ac:dyDescent="0.2">
      <c r="B16" s="5" t="s">
        <v>345</v>
      </c>
      <c r="C16" s="2"/>
      <c r="D16" s="2"/>
    </row>
    <row r="17" spans="2:2" x14ac:dyDescent="0.2">
      <c r="B17" s="5" t="s">
        <v>338</v>
      </c>
    </row>
    <row r="18" spans="2:2" x14ac:dyDescent="0.2">
      <c r="B18" s="5" t="s">
        <v>346</v>
      </c>
    </row>
    <row r="19" spans="2:2" x14ac:dyDescent="0.2">
      <c r="B19" s="5" t="s">
        <v>339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44A93-CE50-4940-9CE0-B4E88A3685AD}">
  <dimension ref="B1:L7"/>
  <sheetViews>
    <sheetView zoomScale="180" zoomScaleNormal="180" workbookViewId="0">
      <selection activeCell="L3" sqref="L3"/>
    </sheetView>
  </sheetViews>
  <sheetFormatPr baseColWidth="10" defaultRowHeight="16" x14ac:dyDescent="0.2"/>
  <cols>
    <col min="2" max="2" width="13.5" bestFit="1" customWidth="1"/>
    <col min="3" max="3" width="6" bestFit="1" customWidth="1"/>
    <col min="4" max="4" width="5.33203125" bestFit="1" customWidth="1"/>
    <col min="5" max="5" width="7.83203125" bestFit="1" customWidth="1"/>
    <col min="6" max="6" width="8.6640625" bestFit="1" customWidth="1"/>
    <col min="7" max="7" width="6.1640625" bestFit="1" customWidth="1"/>
    <col min="8" max="8" width="7.6640625" bestFit="1" customWidth="1"/>
    <col min="9" max="10" width="5.33203125" bestFit="1" customWidth="1"/>
  </cols>
  <sheetData>
    <row r="1" spans="2:12" x14ac:dyDescent="0.2">
      <c r="C1" s="10" t="str">
        <f>AdvPs!C1</f>
        <v>more</v>
      </c>
      <c r="D1" s="10" t="str">
        <f>AdvPs!L1</f>
        <v>less</v>
      </c>
      <c r="E1" s="10" t="str">
        <f>AdvPs!U1</f>
        <v>enough</v>
      </c>
      <c r="F1" s="10" t="s">
        <v>88</v>
      </c>
      <c r="G1" s="10" t="s">
        <v>67</v>
      </c>
      <c r="H1" s="10" t="str">
        <f>AdvPs!AQ1</f>
        <v>a little</v>
      </c>
      <c r="I1" s="10" t="str">
        <f>AdvPs!AU1</f>
        <v>no</v>
      </c>
      <c r="J1" s="10" t="str">
        <f>AdvPs!BD1</f>
        <v>any</v>
      </c>
    </row>
    <row r="2" spans="2:12" x14ac:dyDescent="0.2">
      <c r="B2" s="10" t="s">
        <v>335</v>
      </c>
      <c r="C2" s="21">
        <f>AdvPs!K2</f>
        <v>0.11617010606575193</v>
      </c>
      <c r="D2" s="21">
        <f>AdvPs!T2</f>
        <v>-0.56751374359430651</v>
      </c>
      <c r="E2" s="21">
        <f>AdvPs!X2</f>
        <v>-0.12004786273307197</v>
      </c>
      <c r="F2" s="21">
        <f>AdvPs!AG2</f>
        <v>-0.52717724463358795</v>
      </c>
      <c r="G2" s="21">
        <f>AdvPs!AP2</f>
        <v>-0.13413919061976845</v>
      </c>
      <c r="H2" s="21">
        <f>AdvPs!AT2</f>
        <v>-1</v>
      </c>
      <c r="I2" s="21">
        <f>AdvPs!BC2</f>
        <v>-1</v>
      </c>
      <c r="J2" s="21">
        <f>AdvPs!BL2</f>
        <v>-1</v>
      </c>
      <c r="L2" s="21">
        <f>MAX(C2:J7)</f>
        <v>0.33530924725471456</v>
      </c>
    </row>
    <row r="3" spans="2:12" x14ac:dyDescent="0.2">
      <c r="B3" s="10" t="s">
        <v>7</v>
      </c>
      <c r="C3" s="21">
        <f>AdvPs!K3</f>
        <v>-0.59198119712254593</v>
      </c>
      <c r="D3" s="21">
        <f>AdvPs!T3</f>
        <v>-0.54935223794781329</v>
      </c>
      <c r="E3" s="21">
        <f>AdvPs!X3</f>
        <v>0.3224990357782373</v>
      </c>
      <c r="F3" s="21">
        <f>AdvPs!AG3</f>
        <v>4.8399006819267079E-2</v>
      </c>
      <c r="G3" s="21">
        <f>AdvPs!AP3</f>
        <v>-1</v>
      </c>
      <c r="H3" s="21">
        <f>AdvPs!AT3</f>
        <v>-1.5860929111812753E-2</v>
      </c>
      <c r="I3" s="21">
        <f>AdvPs!BC3</f>
        <v>-1</v>
      </c>
      <c r="J3" s="21">
        <f>AdvPs!BL3</f>
        <v>-1</v>
      </c>
    </row>
    <row r="4" spans="2:12" x14ac:dyDescent="0.2">
      <c r="B4" t="s">
        <v>326</v>
      </c>
      <c r="C4" s="21">
        <f>AdvPs!K4</f>
        <v>-0.31669955458014221</v>
      </c>
      <c r="D4" s="21">
        <f>AdvPs!T4</f>
        <v>-0.64838373896316093</v>
      </c>
      <c r="E4" s="21">
        <f>AdvPs!X4</f>
        <v>-0.2801970872974261</v>
      </c>
      <c r="F4" s="21">
        <f>AdvPs!AG4</f>
        <v>-1</v>
      </c>
      <c r="G4" s="21">
        <f>AdvPs!AP4</f>
        <v>6.5794102896713169E-2</v>
      </c>
      <c r="H4" s="21">
        <f>AdvPs!AT4</f>
        <v>0.28530025884269</v>
      </c>
      <c r="I4" s="21">
        <f>AdvPs!BC4</f>
        <v>-0.14638896680746213</v>
      </c>
      <c r="J4" s="21">
        <f>AdvPs!BL4</f>
        <v>-3.8349786537380623E-2</v>
      </c>
    </row>
    <row r="5" spans="2:12" x14ac:dyDescent="0.2">
      <c r="B5" s="10" t="s">
        <v>336</v>
      </c>
      <c r="C5" s="21">
        <f>AdvPs!K5</f>
        <v>-0.13804536438256867</v>
      </c>
      <c r="D5" s="21">
        <f>AdvPs!T5</f>
        <v>-1</v>
      </c>
      <c r="E5" s="21">
        <f>AdvPs!X5</f>
        <v>-1</v>
      </c>
      <c r="F5" s="21">
        <f>AdvPs!AG5</f>
        <v>-0.52430346459512578</v>
      </c>
      <c r="G5" s="21">
        <f>AdvPs!AP5</f>
        <v>3.8781659494465798E-2</v>
      </c>
      <c r="H5" s="21">
        <f>AdvPs!AT5</f>
        <v>0.33530924725471456</v>
      </c>
      <c r="I5" s="21">
        <f>AdvPs!BC5</f>
        <v>-9.1004245009746153E-3</v>
      </c>
      <c r="J5" s="21">
        <f>AdvPs!BL5</f>
        <v>0.10940845363639994</v>
      </c>
    </row>
    <row r="6" spans="2:12" x14ac:dyDescent="0.2">
      <c r="B6" s="10" t="s">
        <v>337</v>
      </c>
      <c r="C6" s="21">
        <f>AdvPs!K6</f>
        <v>-7.673174265712121E-2</v>
      </c>
      <c r="D6" s="21">
        <f>AdvPs!T6</f>
        <v>-0.55667990961536595</v>
      </c>
      <c r="E6" s="21">
        <f>AdvPs!X6</f>
        <v>-1</v>
      </c>
      <c r="F6" s="21">
        <f>AdvPs!AG6</f>
        <v>-1</v>
      </c>
      <c r="G6" s="21">
        <f>AdvPs!AP6</f>
        <v>-1</v>
      </c>
      <c r="H6" s="21">
        <f>AdvPs!AT6</f>
        <v>-1</v>
      </c>
      <c r="I6" s="21">
        <f>AdvPs!BC6</f>
        <v>-1</v>
      </c>
      <c r="J6" s="21">
        <f>AdvPs!BL6</f>
        <v>-1</v>
      </c>
    </row>
    <row r="7" spans="2:12" x14ac:dyDescent="0.2">
      <c r="B7" s="10" t="s">
        <v>299</v>
      </c>
      <c r="C7" s="21">
        <f>AdvPs!K7</f>
        <v>-1</v>
      </c>
      <c r="D7" s="21">
        <f>AdvPs!T7</f>
        <v>-1</v>
      </c>
      <c r="E7" s="21">
        <f>AdvPs!X7</f>
        <v>-1</v>
      </c>
      <c r="F7" s="21">
        <f>AdvPs!AG7</f>
        <v>-1</v>
      </c>
      <c r="G7" s="21">
        <f>AdvPs!AP7</f>
        <v>0.12458898047434741</v>
      </c>
      <c r="H7" s="21">
        <f>AdvPs!AT7</f>
        <v>0.3238778176122552</v>
      </c>
      <c r="I7" s="21">
        <f>AdvPs!BC7</f>
        <v>-1</v>
      </c>
      <c r="J7" s="21">
        <f>AdvPs!BL7</f>
        <v>-1</v>
      </c>
    </row>
  </sheetData>
  <conditionalFormatting sqref="C2:J7">
    <cfRule type="colorScale" priority="1">
      <colorScale>
        <cfvo type="num" val="-0.5"/>
        <cfvo type="num" val="0"/>
        <cfvo type="num" val="0.5"/>
        <color rgb="FFF8696B"/>
        <color rgb="FFFCFCFF"/>
        <color rgb="FF63BE7B"/>
      </colorScale>
    </cfRule>
    <cfRule type="colorScale" priority="3">
      <colorScale>
        <cfvo type="num" val="-1"/>
        <cfvo type="num" val="0"/>
        <cfvo type="num" val="1"/>
        <color rgb="FFFF0000"/>
        <color theme="0"/>
        <color rgb="FF00B050"/>
      </colorScale>
    </cfRule>
    <cfRule type="colorScale" priority="4">
      <colorScale>
        <cfvo type="min"/>
        <cfvo type="num" val="0"/>
        <cfvo type="max"/>
        <color rgb="FFFF0000"/>
        <color theme="0"/>
        <color rgb="FF00B050"/>
      </colorScale>
    </cfRule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E755C-9C11-2444-89CF-086F056DFA18}">
  <dimension ref="A1:AU15"/>
  <sheetViews>
    <sheetView zoomScale="130" zoomScaleNormal="130" workbookViewId="0">
      <pane xSplit="2" ySplit="1" topLeftCell="AL2" activePane="bottomRight" state="frozen"/>
      <selection pane="topRight" activeCell="C1" sqref="C1"/>
      <selection pane="bottomLeft" activeCell="A6" sqref="A6"/>
      <selection pane="bottomRight" activeCell="AO2" sqref="AO2"/>
    </sheetView>
  </sheetViews>
  <sheetFormatPr baseColWidth="10" defaultRowHeight="16" x14ac:dyDescent="0.2"/>
  <cols>
    <col min="1" max="1" width="13.1640625" bestFit="1" customWidth="1"/>
    <col min="2" max="2" width="9" bestFit="1" customWidth="1"/>
    <col min="3" max="3" width="23.83203125" bestFit="1" customWidth="1"/>
    <col min="4" max="4" width="10.5" bestFit="1" customWidth="1"/>
    <col min="5" max="5" width="10.33203125" bestFit="1" customWidth="1"/>
    <col min="6" max="6" width="12.83203125" bestFit="1" customWidth="1"/>
    <col min="7" max="7" width="7.1640625" bestFit="1" customWidth="1"/>
    <col min="8" max="8" width="22.33203125" bestFit="1" customWidth="1"/>
    <col min="9" max="9" width="9" bestFit="1" customWidth="1"/>
    <col min="10" max="10" width="10.33203125" bestFit="1" customWidth="1"/>
    <col min="11" max="11" width="6.6640625" bestFit="1" customWidth="1"/>
    <col min="12" max="12" width="7.1640625" bestFit="1" customWidth="1"/>
    <col min="13" max="13" width="25.5" bestFit="1" customWidth="1"/>
    <col min="14" max="14" width="9" bestFit="1" customWidth="1"/>
    <col min="15" max="15" width="10.33203125" bestFit="1" customWidth="1"/>
    <col min="16" max="16" width="6.6640625" bestFit="1" customWidth="1"/>
    <col min="17" max="17" width="7.5" bestFit="1" customWidth="1"/>
    <col min="18" max="18" width="26.1640625" bestFit="1" customWidth="1"/>
    <col min="19" max="19" width="9" bestFit="1" customWidth="1"/>
    <col min="20" max="20" width="10.33203125" bestFit="1" customWidth="1"/>
    <col min="21" max="21" width="6.6640625" bestFit="1" customWidth="1"/>
    <col min="22" max="22" width="7.5" bestFit="1" customWidth="1"/>
    <col min="23" max="23" width="28.83203125" bestFit="1" customWidth="1"/>
    <col min="24" max="24" width="9" bestFit="1" customWidth="1"/>
    <col min="25" max="25" width="10.33203125" bestFit="1" customWidth="1"/>
    <col min="26" max="26" width="6.6640625" bestFit="1" customWidth="1"/>
    <col min="27" max="27" width="7.5" bestFit="1" customWidth="1"/>
    <col min="28" max="28" width="24.6640625" bestFit="1" customWidth="1"/>
    <col min="29" max="29" width="9" bestFit="1" customWidth="1"/>
    <col min="30" max="30" width="10.33203125" bestFit="1" customWidth="1"/>
    <col min="31" max="31" width="6.6640625" bestFit="1" customWidth="1"/>
    <col min="32" max="32" width="7.5" bestFit="1" customWidth="1"/>
    <col min="33" max="33" width="21.1640625" bestFit="1" customWidth="1"/>
    <col min="34" max="34" width="10.5" bestFit="1" customWidth="1"/>
    <col min="35" max="35" width="10.33203125" bestFit="1" customWidth="1"/>
    <col min="36" max="37" width="7.5" bestFit="1" customWidth="1"/>
    <col min="38" max="38" width="22.1640625" bestFit="1" customWidth="1"/>
    <col min="39" max="39" width="9" bestFit="1" customWidth="1"/>
    <col min="40" max="40" width="10.33203125" bestFit="1" customWidth="1"/>
    <col min="41" max="41" width="6.6640625" bestFit="1" customWidth="1"/>
    <col min="42" max="42" width="7.5" bestFit="1" customWidth="1"/>
    <col min="43" max="43" width="14.5" bestFit="1" customWidth="1"/>
  </cols>
  <sheetData>
    <row r="1" spans="1:47" x14ac:dyDescent="0.2">
      <c r="C1" s="10" t="s">
        <v>83</v>
      </c>
      <c r="D1" t="s">
        <v>6</v>
      </c>
      <c r="E1" t="s">
        <v>272</v>
      </c>
      <c r="F1" t="s">
        <v>76</v>
      </c>
      <c r="G1" t="s">
        <v>79</v>
      </c>
      <c r="H1" s="10" t="s">
        <v>82</v>
      </c>
      <c r="I1" t="s">
        <v>6</v>
      </c>
      <c r="J1" t="s">
        <v>272</v>
      </c>
      <c r="K1" t="s">
        <v>76</v>
      </c>
      <c r="L1" t="s">
        <v>79</v>
      </c>
      <c r="M1" s="10" t="s">
        <v>87</v>
      </c>
      <c r="N1" t="s">
        <v>6</v>
      </c>
      <c r="O1" t="s">
        <v>272</v>
      </c>
      <c r="P1" t="s">
        <v>76</v>
      </c>
      <c r="Q1" t="s">
        <v>79</v>
      </c>
      <c r="R1" s="10" t="s">
        <v>287</v>
      </c>
      <c r="S1" t="s">
        <v>6</v>
      </c>
      <c r="T1" t="s">
        <v>272</v>
      </c>
      <c r="U1" t="s">
        <v>76</v>
      </c>
      <c r="V1" t="s">
        <v>79</v>
      </c>
      <c r="W1" s="22" t="s">
        <v>74</v>
      </c>
      <c r="X1" t="s">
        <v>6</v>
      </c>
      <c r="Y1" t="s">
        <v>272</v>
      </c>
      <c r="Z1" t="s">
        <v>76</v>
      </c>
      <c r="AA1" t="s">
        <v>79</v>
      </c>
      <c r="AB1" s="10" t="s">
        <v>270</v>
      </c>
      <c r="AC1" t="s">
        <v>6</v>
      </c>
      <c r="AD1" t="s">
        <v>272</v>
      </c>
      <c r="AE1" t="s">
        <v>76</v>
      </c>
      <c r="AF1" t="s">
        <v>79</v>
      </c>
      <c r="AG1" s="10" t="s">
        <v>97</v>
      </c>
      <c r="AH1" t="s">
        <v>6</v>
      </c>
      <c r="AI1" t="s">
        <v>272</v>
      </c>
      <c r="AJ1" t="s">
        <v>76</v>
      </c>
      <c r="AK1" t="s">
        <v>79</v>
      </c>
      <c r="AL1" s="10" t="s">
        <v>98</v>
      </c>
      <c r="AM1" t="s">
        <v>6</v>
      </c>
      <c r="AN1" t="s">
        <v>272</v>
      </c>
      <c r="AO1" t="s">
        <v>76</v>
      </c>
      <c r="AP1" t="s">
        <v>79</v>
      </c>
      <c r="AQ1" s="22" t="s">
        <v>289</v>
      </c>
      <c r="AR1" t="s">
        <v>6</v>
      </c>
      <c r="AS1" t="s">
        <v>272</v>
      </c>
      <c r="AT1" t="s">
        <v>76</v>
      </c>
      <c r="AU1" t="s">
        <v>79</v>
      </c>
    </row>
    <row r="2" spans="1:47" x14ac:dyDescent="0.2">
      <c r="A2" s="10" t="s">
        <v>279</v>
      </c>
      <c r="B2" s="12">
        <v>143437</v>
      </c>
      <c r="C2" t="str">
        <f t="shared" ref="C2:C8" si="0">_xlfn.CONCAT(C$1," ",$A2)</f>
        <v>more near</v>
      </c>
      <c r="D2" s="12">
        <v>26</v>
      </c>
      <c r="E2" s="12">
        <v>20</v>
      </c>
      <c r="F2" s="13">
        <f>IF(D2=0,-1,LOG((D2/1002889754) / (($B2/1002889754) * (D$9/1002889754)), 2) / -LOG(D2/1002889754, 2))</f>
        <v>-0.14496900470035806</v>
      </c>
      <c r="G2" s="13">
        <f t="shared" ref="G2:G8" si="1">(F2-F$14)/F$15</f>
        <v>0.28222212188925044</v>
      </c>
      <c r="H2" t="str">
        <f t="shared" ref="H2:H8" si="2">_xlfn.CONCAT(H$1," ",$A2)</f>
        <v>less near</v>
      </c>
      <c r="I2" s="12">
        <v>0</v>
      </c>
      <c r="J2" s="12">
        <v>2</v>
      </c>
      <c r="K2" s="13">
        <f>IF(I2=0,-1,LOG((I2/1002889754) / (($B2/1002889754) * (I$9/1002889754)), 2) / -LOG(I2/1002889754, 2))</f>
        <v>-1</v>
      </c>
      <c r="L2" s="13">
        <f>(K2-K$14)/K$15</f>
        <v>-0.14103390832946672</v>
      </c>
      <c r="M2" t="str">
        <f t="shared" ref="M2:M7" si="3">_xlfn.CONCAT($A2," ",M$1)</f>
        <v>near enough</v>
      </c>
      <c r="N2" s="12">
        <v>644</v>
      </c>
      <c r="O2" s="12"/>
      <c r="P2" s="13">
        <f>IF(N2=0,-1,LOG((N2/1002889754) / (($B2/1002889754) * (N$9/1002889754)), 2) / -LOG(N2/1002889754, 2))</f>
        <v>0.1704216644841208</v>
      </c>
      <c r="Q2" s="13" t="e">
        <f t="shared" ref="Q2:Q7" si="4">(P2-P$14)/P$15</f>
        <v>#DIV/0!</v>
      </c>
      <c r="R2" t="str">
        <f t="shared" ref="R2:R8" si="5">_xlfn.CONCAT(R$1," ",$A2)</f>
        <v>that.[d*] near</v>
      </c>
      <c r="S2" s="12">
        <v>2</v>
      </c>
      <c r="T2" s="12">
        <v>52</v>
      </c>
      <c r="U2" s="13">
        <f>IF(S2=0,-1,LOG((S2/1002889754) / (($B2/1002889754) * (S$9/1002889754)), 2) / -LOG(S2/1002889754, 2))</f>
        <v>-0.10426598419224818</v>
      </c>
      <c r="V2" s="13">
        <f t="shared" ref="V2:V8" si="6">(U2-U$14)/U$15</f>
        <v>0.11962770094818942</v>
      </c>
      <c r="W2" t="str">
        <f t="shared" ref="W2:W8" si="7">_xlfn.CONCAT(W$1," ",$A2)</f>
        <v>-very much near</v>
      </c>
      <c r="X2" s="12">
        <v>2</v>
      </c>
      <c r="Y2" s="12">
        <v>38</v>
      </c>
      <c r="Z2" s="13">
        <f>IF(X2=0,-1,LOG((X2/1002889754) / (($B2/1002889754) * (X$9/1002889754)), 2) / -LOG(X2/1002889754, 2))</f>
        <v>-0.20741102901055511</v>
      </c>
      <c r="AA2" s="13">
        <f t="shared" ref="AA2:AA8" si="8">(Z2-Z$14)/Z$15</f>
        <v>0.12077532881833403</v>
      </c>
      <c r="AB2" t="str">
        <f>_xlfn.CONCAT(AB$1," ",$A2)</f>
        <v>a little near</v>
      </c>
      <c r="AC2" s="12">
        <v>0</v>
      </c>
      <c r="AD2" s="12">
        <v>4</v>
      </c>
      <c r="AE2" s="13">
        <f>IF(AC2=0,-1,LOG((AC2/1002889754) / (($B2/1002889754) * (AC$9/1002889754)), 2) / -LOG(AC2/1002889754, 2))</f>
        <v>-1</v>
      </c>
      <c r="AF2" s="13">
        <f t="shared" ref="AF2:AF8" si="9">(AE2-AE$14)/AE$15</f>
        <v>-4.7361881952224314</v>
      </c>
      <c r="AG2" t="str">
        <f t="shared" ref="AG2:AG8" si="10">_xlfn.CONCAT(AG$1," ",$A2)</f>
        <v>no near</v>
      </c>
      <c r="AH2" s="12">
        <v>1</v>
      </c>
      <c r="AI2" s="12">
        <v>12</v>
      </c>
      <c r="AJ2" s="13">
        <f>IF(AH2=0,-1,LOG((AH2/1002889754) / (($B2/1002889754) * (AH$9/1002889754)), 2) / -LOG(AH2/1002889754, 2))</f>
        <v>-0.24848896513979435</v>
      </c>
      <c r="AK2" s="13">
        <f>(AJ2-AJ$14)/AJ$15</f>
        <v>9.5293038271712441E-2</v>
      </c>
      <c r="AL2" t="str">
        <f t="shared" ref="AL2:AL8" si="11">_xlfn.CONCAT(AL$1," ",$A2)</f>
        <v>any near</v>
      </c>
      <c r="AM2" s="12">
        <v>1</v>
      </c>
      <c r="AN2" s="12">
        <v>18</v>
      </c>
      <c r="AO2" s="13">
        <f>IF(AM2=0,-1,LOG((AM2/1002889754) / (($B2/1002889754) * (AM$9/1002889754)), 2) / -LOG(AM2/1002889754, 2))</f>
        <v>-0.23933808164236275</v>
      </c>
      <c r="AP2" s="13">
        <f t="shared" ref="AP2:AP8" si="12">(AO2-AO$14)/AO$15</f>
        <v>0.14981233507416772</v>
      </c>
      <c r="AQ2" t="str">
        <f t="shared" ref="AQ2:AQ8" si="13">_xlfn.CONCAT(AQ$1," ",$A2)</f>
        <v>-at all near</v>
      </c>
      <c r="AR2" s="12">
        <v>0</v>
      </c>
      <c r="AS2" s="12">
        <v>33</v>
      </c>
      <c r="AT2" s="13">
        <f>IF(AR2=0,-1,LOG((AR2/1002889754) / (($B2/1002889754) * (AR$9/1002889754)), 2) / -LOG(AR2/1002889754, 2))</f>
        <v>-1</v>
      </c>
      <c r="AU2" s="13">
        <f t="shared" ref="AU2:AU8" si="14">(AT2-AT$14)/AT$15</f>
        <v>-3.6238586565996385E-2</v>
      </c>
    </row>
    <row r="3" spans="1:47" x14ac:dyDescent="0.2">
      <c r="A3" t="s">
        <v>280</v>
      </c>
      <c r="B3" s="12">
        <v>2875</v>
      </c>
      <c r="C3" t="str">
        <f t="shared" si="0"/>
        <v>more nearer</v>
      </c>
      <c r="D3" s="12">
        <v>2</v>
      </c>
      <c r="E3" s="12">
        <v>2</v>
      </c>
      <c r="F3" s="13">
        <f t="shared" ref="F3:F8" si="15">IF(D3=0,-1,LOG((D3/1002889754) / (($B3/1002889754) * (D$9/1002889754)), 2) / -LOG(D3/1002889754, 2))</f>
        <v>-5.9273818031053381E-2</v>
      </c>
      <c r="G3" s="13">
        <f t="shared" si="1"/>
        <v>0.40059493103423405</v>
      </c>
      <c r="H3" t="str">
        <f t="shared" si="2"/>
        <v>less nearer</v>
      </c>
      <c r="I3" s="12">
        <v>0</v>
      </c>
      <c r="J3" s="12"/>
      <c r="K3" s="13">
        <f t="shared" ref="K3:K8" si="16">IF(I3=0,-1,LOG((I3/1002889754) / (($B3/1002889754) * (I$9/1002889754)), 2) / -LOG(I3/1002889754, 2))</f>
        <v>-1</v>
      </c>
      <c r="L3" s="13">
        <f>(K3-K$14)/K$15</f>
        <v>-0.14103390832946672</v>
      </c>
      <c r="M3" t="str">
        <f t="shared" si="3"/>
        <v>nearer enough</v>
      </c>
      <c r="N3" s="12">
        <v>0</v>
      </c>
      <c r="O3" s="12"/>
      <c r="P3" s="13">
        <f t="shared" ref="P3:P8" si="17">IF(N3=0,-1,LOG((N3/1002889754) / (($B3/1002889754) * (N$9/1002889754)), 2) / -LOG(N3/1002889754, 2))</f>
        <v>-1</v>
      </c>
      <c r="Q3" s="13" t="e">
        <f t="shared" si="4"/>
        <v>#DIV/0!</v>
      </c>
      <c r="R3" t="str">
        <f t="shared" si="5"/>
        <v>that.[d*] nearer</v>
      </c>
      <c r="S3" s="12">
        <v>0</v>
      </c>
      <c r="T3" s="12"/>
      <c r="U3" s="13">
        <f t="shared" ref="U3:U8" si="18">IF(S3=0,-1,LOG((S3/1002889754) / (($B3/1002889754) * (S$9/1002889754)), 2) / -LOG(S3/1002889754, 2))</f>
        <v>-1</v>
      </c>
      <c r="V3" s="13">
        <f t="shared" si="6"/>
        <v>-0.79673501686492298</v>
      </c>
      <c r="W3" t="str">
        <f t="shared" si="7"/>
        <v>-very much nearer</v>
      </c>
      <c r="X3" s="12">
        <v>68</v>
      </c>
      <c r="Y3" s="12"/>
      <c r="Z3" s="13">
        <f t="shared" ref="Z3:Z8" si="19">IF(X3=0,-1,LOG((X3/1002889754) / (($B3/1002889754) * (X$9/1002889754)), 2) / -LOG(X3/1002889754, 2))</f>
        <v>0.198776795362655</v>
      </c>
      <c r="AA3" s="13">
        <f t="shared" si="8"/>
        <v>0.43216444518268482</v>
      </c>
      <c r="AB3" t="str">
        <f t="shared" ref="AB3:AB8" si="20">_xlfn.CONCAT(AB$1," ",$A3)</f>
        <v>a little nearer</v>
      </c>
      <c r="AC3" s="12">
        <v>26</v>
      </c>
      <c r="AD3" s="12"/>
      <c r="AE3" s="13">
        <f t="shared" ref="AE3:AE8" si="21">IF(AC3=0,-1,LOG((AC3/1002889754) / (($B3/1002889754) * (AC$9/1002889754)), 2) / -LOG(AC3/1002889754, 2))</f>
        <v>0.21928640209573505</v>
      </c>
      <c r="AF3" s="13">
        <f t="shared" si="9"/>
        <v>-2.0613025926800899</v>
      </c>
      <c r="AG3" t="str">
        <f t="shared" si="10"/>
        <v>no nearer</v>
      </c>
      <c r="AH3" s="12">
        <v>64</v>
      </c>
      <c r="AI3" s="12">
        <v>1</v>
      </c>
      <c r="AJ3" s="13">
        <f t="shared" ref="AJ3:AJ8" si="22">IF(AH3=0,-1,LOG((AH3/1002889754) / (($B3/1002889754) * (AH$9/1002889754)), 2) / -LOG(AH3/1002889754, 2))</f>
        <v>0.17616099075526095</v>
      </c>
      <c r="AK3" s="13">
        <f>(AJ3-AJ$14)/AJ$15</f>
        <v>0.26667171477515478</v>
      </c>
      <c r="AL3" t="str">
        <f t="shared" si="11"/>
        <v>any nearer</v>
      </c>
      <c r="AM3" s="12">
        <v>29</v>
      </c>
      <c r="AN3" s="12"/>
      <c r="AO3" s="13">
        <f t="shared" ref="AO3:AO8" si="23">IF(AM3=0,-1,LOG((AM3/1002889754) / (($B3/1002889754) * (AM$9/1002889754)), 2) / -LOG(AM3/1002889754, 2))</f>
        <v>0.13345244656757987</v>
      </c>
      <c r="AP3" s="13">
        <f t="shared" si="12"/>
        <v>0.3166272511354834</v>
      </c>
      <c r="AQ3" t="str">
        <f t="shared" si="13"/>
        <v>-at all nearer</v>
      </c>
      <c r="AR3" s="12">
        <v>0</v>
      </c>
      <c r="AS3" s="12">
        <v>1</v>
      </c>
      <c r="AT3" s="13">
        <f t="shared" ref="AT3:AT8" si="24">IF(AR3=0,-1,LOG((AR3/1002889754) / (($B3/1002889754) * (AR$9/1002889754)), 2) / -LOG(AR3/1002889754, 2))</f>
        <v>-1</v>
      </c>
      <c r="AU3" s="13">
        <f t="shared" si="14"/>
        <v>-3.6238586565996385E-2</v>
      </c>
    </row>
    <row r="4" spans="1:47" x14ac:dyDescent="0.2">
      <c r="A4" t="s">
        <v>285</v>
      </c>
      <c r="B4" s="12">
        <v>225226</v>
      </c>
      <c r="C4" t="str">
        <f t="shared" si="0"/>
        <v>more up to</v>
      </c>
      <c r="D4" s="12">
        <v>94</v>
      </c>
      <c r="E4" s="12"/>
      <c r="F4" s="13">
        <f t="shared" si="15"/>
        <v>-0.10494665758522548</v>
      </c>
      <c r="G4" s="13">
        <f t="shared" si="1"/>
        <v>0.33750594634576253</v>
      </c>
      <c r="H4" t="str">
        <f t="shared" si="2"/>
        <v>less up to</v>
      </c>
      <c r="I4" s="12">
        <v>2</v>
      </c>
      <c r="J4" s="12">
        <v>8</v>
      </c>
      <c r="K4" s="13">
        <f t="shared" si="16"/>
        <v>-0.18171621957643527</v>
      </c>
      <c r="L4" s="13">
        <f>(K4-K$14)/K$15</f>
        <v>0.89075292181089716</v>
      </c>
      <c r="M4" t="str">
        <f t="shared" si="3"/>
        <v>up to enough</v>
      </c>
      <c r="N4" s="12"/>
      <c r="O4" s="12"/>
      <c r="P4" s="13">
        <f t="shared" si="17"/>
        <v>-1</v>
      </c>
      <c r="Q4" s="13" t="e">
        <f t="shared" si="4"/>
        <v>#DIV/0!</v>
      </c>
      <c r="R4" t="str">
        <f t="shared" si="5"/>
        <v>that.[d*] up to</v>
      </c>
      <c r="S4" s="12">
        <v>2</v>
      </c>
      <c r="T4" s="12" t="s">
        <v>288</v>
      </c>
      <c r="U4" s="13">
        <f t="shared" si="18"/>
        <v>-0.12678923745208209</v>
      </c>
      <c r="V4" s="13">
        <f t="shared" si="6"/>
        <v>9.6585738482844991E-2</v>
      </c>
      <c r="W4" t="str">
        <f t="shared" si="7"/>
        <v>-very much up to</v>
      </c>
      <c r="X4" s="12">
        <v>3</v>
      </c>
      <c r="Y4" s="12">
        <v>37</v>
      </c>
      <c r="Z4" s="13">
        <f t="shared" si="19"/>
        <v>-0.21402628803114204</v>
      </c>
      <c r="AA4" s="13">
        <f t="shared" si="8"/>
        <v>0.11570398118717218</v>
      </c>
      <c r="AB4" t="str">
        <f t="shared" si="20"/>
        <v>a little up to</v>
      </c>
      <c r="AC4" s="12">
        <v>0</v>
      </c>
      <c r="AD4" s="12"/>
      <c r="AE4" s="13">
        <f t="shared" si="21"/>
        <v>-1</v>
      </c>
      <c r="AF4" s="13">
        <f t="shared" si="9"/>
        <v>-4.7361881952224314</v>
      </c>
      <c r="AG4" t="str">
        <f t="shared" si="10"/>
        <v>no up to</v>
      </c>
      <c r="AH4" s="12">
        <v>0</v>
      </c>
      <c r="AI4" s="12">
        <v>1</v>
      </c>
      <c r="AJ4" s="13">
        <f t="shared" si="22"/>
        <v>-1</v>
      </c>
      <c r="AK4" s="13">
        <f>(AJ4-AJ$14)/AJ$15</f>
        <v>-0.20799903734056732</v>
      </c>
      <c r="AL4" t="str">
        <f t="shared" si="11"/>
        <v>any up to</v>
      </c>
      <c r="AM4" s="12">
        <v>0</v>
      </c>
      <c r="AN4" s="12">
        <v>3</v>
      </c>
      <c r="AO4" s="13">
        <f t="shared" si="23"/>
        <v>-1</v>
      </c>
      <c r="AP4" s="13">
        <f t="shared" si="12"/>
        <v>-0.19056582493747487</v>
      </c>
      <c r="AQ4" t="str">
        <f t="shared" si="13"/>
        <v>-at all up to</v>
      </c>
      <c r="AR4" s="12">
        <v>9</v>
      </c>
      <c r="AS4" s="12">
        <v>519</v>
      </c>
      <c r="AT4" s="13">
        <f t="shared" si="24"/>
        <v>-0.23460497994794655</v>
      </c>
      <c r="AU4" s="13">
        <f t="shared" si="14"/>
        <v>0.47981340573199488</v>
      </c>
    </row>
    <row r="5" spans="1:47" x14ac:dyDescent="0.2">
      <c r="A5" t="s">
        <v>284</v>
      </c>
      <c r="B5" s="12">
        <v>67921</v>
      </c>
      <c r="C5" t="str">
        <f t="shared" si="0"/>
        <v>more along the</v>
      </c>
      <c r="D5" s="12">
        <v>442</v>
      </c>
      <c r="E5" s="12"/>
      <c r="F5" s="13">
        <f t="shared" si="15"/>
        <v>7.1639823333395719E-2</v>
      </c>
      <c r="G5" s="13">
        <f t="shared" si="1"/>
        <v>0.58142907220379314</v>
      </c>
      <c r="H5" t="str">
        <f t="shared" si="2"/>
        <v>less along the</v>
      </c>
      <c r="I5" s="12">
        <v>2</v>
      </c>
      <c r="J5" s="12">
        <v>8</v>
      </c>
      <c r="K5" s="13">
        <f t="shared" si="16"/>
        <v>-0.12187701309056481</v>
      </c>
      <c r="L5" s="13">
        <f>(K5-K$14)/K$15</f>
        <v>0.96620511413739318</v>
      </c>
      <c r="M5" t="str">
        <f t="shared" si="3"/>
        <v>along the enough</v>
      </c>
      <c r="N5" s="12"/>
      <c r="O5" s="12"/>
      <c r="P5" s="13">
        <f t="shared" si="17"/>
        <v>-1</v>
      </c>
      <c r="Q5" s="13" t="e">
        <f t="shared" si="4"/>
        <v>#DIV/0!</v>
      </c>
      <c r="R5" t="str">
        <f t="shared" si="5"/>
        <v>that.[d*] along the</v>
      </c>
      <c r="S5" s="12">
        <v>0</v>
      </c>
      <c r="T5" s="12">
        <v>14</v>
      </c>
      <c r="U5" s="13">
        <f t="shared" si="18"/>
        <v>-1</v>
      </c>
      <c r="V5" s="13">
        <f t="shared" si="6"/>
        <v>-0.79673501686492298</v>
      </c>
      <c r="W5" t="str">
        <f t="shared" si="7"/>
        <v>-very much along the</v>
      </c>
      <c r="X5" s="12">
        <v>14</v>
      </c>
      <c r="Y5" s="12">
        <v>20</v>
      </c>
      <c r="Z5" s="13">
        <f t="shared" si="19"/>
        <v>-8.0809289666119832E-2</v>
      </c>
      <c r="AA5" s="13">
        <f t="shared" si="8"/>
        <v>0.21782994586769147</v>
      </c>
      <c r="AB5" t="str">
        <f t="shared" si="20"/>
        <v>a little along the</v>
      </c>
      <c r="AC5" s="12">
        <v>0</v>
      </c>
      <c r="AD5" s="12"/>
      <c r="AE5" s="13">
        <f t="shared" si="21"/>
        <v>-1</v>
      </c>
      <c r="AF5" s="13">
        <f t="shared" si="9"/>
        <v>-4.7361881952224314</v>
      </c>
      <c r="AG5" t="str">
        <f t="shared" si="10"/>
        <v>no along the</v>
      </c>
      <c r="AH5" s="12">
        <v>0</v>
      </c>
      <c r="AI5" s="12"/>
      <c r="AJ5" s="13">
        <f t="shared" si="22"/>
        <v>-1</v>
      </c>
      <c r="AK5" s="13">
        <f t="shared" ref="AK5:AK8" si="25">(AJ5-AJ$14)/AJ$15</f>
        <v>-0.20799903734056732</v>
      </c>
      <c r="AL5" t="str">
        <f t="shared" si="11"/>
        <v>any along the</v>
      </c>
      <c r="AM5" s="12">
        <v>0</v>
      </c>
      <c r="AN5" s="12"/>
      <c r="AO5" s="13">
        <f t="shared" si="23"/>
        <v>-1</v>
      </c>
      <c r="AP5" s="13">
        <f t="shared" si="12"/>
        <v>-0.19056582493747487</v>
      </c>
      <c r="AQ5" t="str">
        <f t="shared" si="13"/>
        <v>-at all along the</v>
      </c>
      <c r="AR5" s="12">
        <v>1216</v>
      </c>
      <c r="AS5" s="12"/>
      <c r="AT5" s="13">
        <f t="shared" si="24"/>
        <v>0.12903913018315769</v>
      </c>
      <c r="AU5" s="13">
        <f t="shared" si="14"/>
        <v>0.72499303534053861</v>
      </c>
    </row>
    <row r="6" spans="1:47" x14ac:dyDescent="0.2">
      <c r="A6" t="s">
        <v>281</v>
      </c>
      <c r="B6" s="12">
        <v>14086</v>
      </c>
      <c r="C6" t="str">
        <f t="shared" si="0"/>
        <v>more short of</v>
      </c>
      <c r="D6" s="12">
        <v>3</v>
      </c>
      <c r="E6" s="12">
        <v>3</v>
      </c>
      <c r="F6" s="13">
        <f t="shared" si="15"/>
        <v>-0.12080456168144942</v>
      </c>
      <c r="G6" s="13">
        <f t="shared" si="1"/>
        <v>0.31560104447226967</v>
      </c>
      <c r="H6" t="str">
        <f t="shared" si="2"/>
        <v>less short of</v>
      </c>
      <c r="I6" s="12">
        <v>0</v>
      </c>
      <c r="J6" s="12"/>
      <c r="K6" s="13">
        <f t="shared" si="16"/>
        <v>-1</v>
      </c>
      <c r="L6" s="13">
        <f>(K6-K$14)/K$15</f>
        <v>-0.14103390832946672</v>
      </c>
      <c r="M6" t="str">
        <f t="shared" si="3"/>
        <v>short of enough</v>
      </c>
      <c r="N6" s="12"/>
      <c r="O6" s="12"/>
      <c r="P6" s="13">
        <f t="shared" si="17"/>
        <v>-1</v>
      </c>
      <c r="Q6" s="13" t="e">
        <f t="shared" si="4"/>
        <v>#DIV/0!</v>
      </c>
      <c r="R6" t="str">
        <f t="shared" si="5"/>
        <v>that.[d*] short of</v>
      </c>
      <c r="S6" s="12">
        <v>16</v>
      </c>
      <c r="T6" s="12">
        <v>33</v>
      </c>
      <c r="U6" s="13">
        <f t="shared" si="18"/>
        <v>0.12874297956781541</v>
      </c>
      <c r="V6" s="13">
        <f t="shared" si="6"/>
        <v>0.35800284751828026</v>
      </c>
      <c r="W6" t="str">
        <f t="shared" si="7"/>
        <v>-very much short of</v>
      </c>
      <c r="X6" s="12">
        <v>2</v>
      </c>
      <c r="Y6" s="12"/>
      <c r="Z6" s="13">
        <f t="shared" si="19"/>
        <v>-9.1566471203447658E-2</v>
      </c>
      <c r="AA6" s="13">
        <f t="shared" si="8"/>
        <v>0.20958334404340412</v>
      </c>
      <c r="AB6" t="str">
        <f t="shared" si="20"/>
        <v>a little short of</v>
      </c>
      <c r="AC6" s="12">
        <v>73</v>
      </c>
      <c r="AD6" s="12"/>
      <c r="AE6" s="13">
        <f t="shared" si="21"/>
        <v>0.19918486498885452</v>
      </c>
      <c r="AF6" s="13">
        <f t="shared" si="9"/>
        <v>-2.1054015936233839</v>
      </c>
      <c r="AG6" t="str">
        <f t="shared" si="10"/>
        <v>no short of</v>
      </c>
      <c r="AH6" s="12">
        <v>0</v>
      </c>
      <c r="AI6" s="12">
        <v>3</v>
      </c>
      <c r="AJ6" s="13">
        <f t="shared" si="22"/>
        <v>-1</v>
      </c>
      <c r="AK6" s="13">
        <f t="shared" si="25"/>
        <v>-0.20799903734056732</v>
      </c>
      <c r="AL6" t="str">
        <f t="shared" si="11"/>
        <v>any short of</v>
      </c>
      <c r="AM6" s="12">
        <v>0</v>
      </c>
      <c r="AN6" s="12">
        <v>1</v>
      </c>
      <c r="AO6" s="13">
        <f t="shared" si="23"/>
        <v>-1</v>
      </c>
      <c r="AP6" s="13">
        <f t="shared" si="12"/>
        <v>-0.19056582493747487</v>
      </c>
      <c r="AQ6" t="str">
        <f t="shared" si="13"/>
        <v>-at all short of</v>
      </c>
      <c r="AR6" s="12">
        <v>0</v>
      </c>
      <c r="AS6" s="12">
        <v>4</v>
      </c>
      <c r="AT6" s="13">
        <f t="shared" si="24"/>
        <v>-1</v>
      </c>
      <c r="AU6" s="13">
        <f t="shared" si="14"/>
        <v>-3.6238586565996385E-2</v>
      </c>
    </row>
    <row r="7" spans="1:47" x14ac:dyDescent="0.2">
      <c r="A7" t="s">
        <v>282</v>
      </c>
      <c r="B7" s="12">
        <v>12468</v>
      </c>
      <c r="C7" t="str">
        <f t="shared" si="0"/>
        <v>more like her</v>
      </c>
      <c r="D7" s="12">
        <v>174</v>
      </c>
      <c r="E7" s="12"/>
      <c r="F7" s="13">
        <f t="shared" si="15"/>
        <v>0.11635842474423674</v>
      </c>
      <c r="G7" s="13">
        <f t="shared" si="1"/>
        <v>0.64319994494211175</v>
      </c>
      <c r="H7" t="str">
        <f t="shared" si="2"/>
        <v>less like her</v>
      </c>
      <c r="I7" s="12">
        <v>4</v>
      </c>
      <c r="J7" s="12"/>
      <c r="K7" s="13">
        <f t="shared" si="16"/>
        <v>-2.7526385769571829E-3</v>
      </c>
      <c r="L7" s="13"/>
      <c r="M7" t="str">
        <f t="shared" si="3"/>
        <v>like her enough</v>
      </c>
      <c r="N7" s="12">
        <v>0</v>
      </c>
      <c r="O7" s="12"/>
      <c r="P7" s="13">
        <f t="shared" si="17"/>
        <v>-1</v>
      </c>
      <c r="Q7" s="13" t="e">
        <f t="shared" si="4"/>
        <v>#DIV/0!</v>
      </c>
      <c r="R7" t="str">
        <f t="shared" si="5"/>
        <v>that.[d*] like her</v>
      </c>
      <c r="S7" s="12">
        <v>0</v>
      </c>
      <c r="T7" s="12">
        <v>1</v>
      </c>
      <c r="U7" s="13">
        <f t="shared" si="18"/>
        <v>-1</v>
      </c>
      <c r="V7" s="13">
        <f t="shared" si="6"/>
        <v>-0.79673501686492298</v>
      </c>
      <c r="W7" t="str">
        <f t="shared" si="7"/>
        <v>-very much like her</v>
      </c>
      <c r="X7" s="12">
        <v>181</v>
      </c>
      <c r="Y7" s="12"/>
      <c r="Z7" s="13">
        <f t="shared" si="19"/>
        <v>0.17987355388041482</v>
      </c>
      <c r="AA7" s="13">
        <f t="shared" si="8"/>
        <v>0.4176729628969717</v>
      </c>
      <c r="AB7" t="str">
        <f t="shared" si="20"/>
        <v>a little like her</v>
      </c>
      <c r="AC7" s="12">
        <v>13</v>
      </c>
      <c r="AD7" s="12"/>
      <c r="AE7" s="13">
        <f t="shared" si="21"/>
        <v>9.1967868270794992E-2</v>
      </c>
      <c r="AF7" s="13">
        <f t="shared" si="9"/>
        <v>-2.3406155682695546</v>
      </c>
      <c r="AG7" t="str">
        <f t="shared" si="10"/>
        <v>no like her</v>
      </c>
      <c r="AH7" s="12">
        <v>0</v>
      </c>
      <c r="AI7" s="12"/>
      <c r="AJ7" s="13">
        <f t="shared" si="22"/>
        <v>-1</v>
      </c>
      <c r="AK7" s="13">
        <f t="shared" si="25"/>
        <v>-0.20799903734056732</v>
      </c>
      <c r="AL7" t="str">
        <f t="shared" si="11"/>
        <v>any like her</v>
      </c>
      <c r="AM7" s="12">
        <v>0</v>
      </c>
      <c r="AN7" s="12"/>
      <c r="AO7" s="13">
        <f t="shared" si="23"/>
        <v>-1</v>
      </c>
      <c r="AP7" s="13">
        <f t="shared" si="12"/>
        <v>-0.19056582493747487</v>
      </c>
      <c r="AQ7" t="str">
        <f t="shared" si="13"/>
        <v>-at all like her</v>
      </c>
      <c r="AR7" s="12">
        <v>0</v>
      </c>
      <c r="AS7" s="12">
        <v>7</v>
      </c>
      <c r="AT7" s="13">
        <f t="shared" si="24"/>
        <v>-1</v>
      </c>
      <c r="AU7" s="13">
        <f t="shared" si="14"/>
        <v>-3.6238586565996385E-2</v>
      </c>
    </row>
    <row r="8" spans="1:47" x14ac:dyDescent="0.2">
      <c r="A8" t="s">
        <v>283</v>
      </c>
      <c r="B8" s="12">
        <v>33563</v>
      </c>
      <c r="C8" t="str">
        <f t="shared" si="0"/>
        <v>more above the</v>
      </c>
      <c r="D8" s="12">
        <v>38</v>
      </c>
      <c r="E8" s="12"/>
      <c r="F8" s="13">
        <f t="shared" si="15"/>
        <v>-4.0984439221472733E-2</v>
      </c>
      <c r="G8" s="13">
        <f t="shared" si="1"/>
        <v>0.42585848703255796</v>
      </c>
      <c r="H8" t="str">
        <f t="shared" si="2"/>
        <v>less above the</v>
      </c>
      <c r="I8" s="12">
        <v>0</v>
      </c>
      <c r="J8" s="12"/>
      <c r="K8" s="13">
        <f t="shared" si="16"/>
        <v>-1</v>
      </c>
      <c r="L8" s="13"/>
      <c r="M8" t="str">
        <f>_xlfn.CONCAT(M$1," ",$A8)</f>
        <v>enough above the</v>
      </c>
      <c r="N8" s="12"/>
      <c r="O8" s="12"/>
      <c r="P8" s="13">
        <f t="shared" si="17"/>
        <v>-1</v>
      </c>
      <c r="Q8" s="13"/>
      <c r="R8" t="str">
        <f t="shared" si="5"/>
        <v>that.[d*] above the</v>
      </c>
      <c r="S8" s="12">
        <v>5</v>
      </c>
      <c r="T8" s="12"/>
      <c r="U8" s="13">
        <f t="shared" si="18"/>
        <v>1.4646946121324278E-2</v>
      </c>
      <c r="V8" s="13">
        <f t="shared" si="6"/>
        <v>0.24127918909336418</v>
      </c>
      <c r="W8" t="str">
        <f t="shared" si="7"/>
        <v>-very much above the</v>
      </c>
      <c r="X8" s="12">
        <v>22</v>
      </c>
      <c r="Y8" s="12">
        <v>4</v>
      </c>
      <c r="Z8" s="13">
        <f t="shared" si="19"/>
        <v>-1.7277982646504247E-2</v>
      </c>
      <c r="AA8" s="13">
        <f t="shared" si="8"/>
        <v>0.26653391080026306</v>
      </c>
      <c r="AB8" t="str">
        <f t="shared" si="20"/>
        <v>a little above the</v>
      </c>
      <c r="AC8" s="12">
        <v>44</v>
      </c>
      <c r="AD8" s="12"/>
      <c r="AE8" s="13">
        <f t="shared" si="21"/>
        <v>0.11210203584796698</v>
      </c>
      <c r="AF8" s="13">
        <f t="shared" si="9"/>
        <v>-2.2964449821966002</v>
      </c>
      <c r="AG8" t="str">
        <f t="shared" si="10"/>
        <v>no above the</v>
      </c>
      <c r="AH8" s="12">
        <v>0</v>
      </c>
      <c r="AI8" s="12"/>
      <c r="AJ8" s="13">
        <f t="shared" si="22"/>
        <v>-1</v>
      </c>
      <c r="AK8" s="13">
        <f t="shared" si="25"/>
        <v>-0.20799903734056732</v>
      </c>
      <c r="AL8" t="str">
        <f t="shared" si="11"/>
        <v>any above the</v>
      </c>
      <c r="AM8" s="12">
        <v>0</v>
      </c>
      <c r="AN8" s="12"/>
      <c r="AO8" s="13">
        <f t="shared" si="23"/>
        <v>-1</v>
      </c>
      <c r="AP8" s="13">
        <f t="shared" si="12"/>
        <v>-0.19056582493747487</v>
      </c>
      <c r="AQ8" t="str">
        <f t="shared" si="13"/>
        <v>-at all above the</v>
      </c>
      <c r="AR8" s="12">
        <v>2</v>
      </c>
      <c r="AS8" s="12">
        <v>10</v>
      </c>
      <c r="AT8" s="13">
        <f t="shared" si="24"/>
        <v>-0.19704362797101729</v>
      </c>
      <c r="AU8" s="13">
        <f t="shared" si="14"/>
        <v>0.50513838174213688</v>
      </c>
    </row>
    <row r="9" spans="1:47" x14ac:dyDescent="0.2">
      <c r="C9" t="s">
        <v>83</v>
      </c>
      <c r="D9" s="12">
        <v>2287393</v>
      </c>
      <c r="E9" s="12"/>
      <c r="H9" t="s">
        <v>82</v>
      </c>
      <c r="I9" s="12">
        <v>339341</v>
      </c>
      <c r="J9" s="12"/>
      <c r="M9" t="s">
        <v>87</v>
      </c>
      <c r="N9" s="2">
        <v>396428</v>
      </c>
      <c r="O9" s="12"/>
      <c r="R9" s="11" t="s">
        <v>263</v>
      </c>
      <c r="S9" s="12">
        <v>112917</v>
      </c>
      <c r="T9" s="12"/>
      <c r="W9" s="16" t="s">
        <v>74</v>
      </c>
      <c r="X9" s="12">
        <v>891547</v>
      </c>
      <c r="Y9" s="12"/>
      <c r="AB9" t="s">
        <v>278</v>
      </c>
      <c r="AC9" s="2">
        <v>196798</v>
      </c>
      <c r="AD9" s="12"/>
      <c r="AG9" t="s">
        <v>97</v>
      </c>
      <c r="AH9" s="2">
        <v>1205880</v>
      </c>
      <c r="AI9" s="12"/>
      <c r="AL9" s="11" t="s">
        <v>98</v>
      </c>
      <c r="AM9" s="12">
        <v>997550</v>
      </c>
      <c r="AN9" s="12"/>
      <c r="AQ9" s="11" t="s">
        <v>286</v>
      </c>
      <c r="AR9" s="12">
        <v>3095608</v>
      </c>
      <c r="AS9" s="12"/>
    </row>
    <row r="10" spans="1:47" x14ac:dyDescent="0.2">
      <c r="F10" s="8">
        <f>-3.5*F15+F14</f>
        <v>-2.8830828764687588</v>
      </c>
      <c r="G10" s="1">
        <f>(F10-F$14)/F$15</f>
        <v>-3.4999999999999996</v>
      </c>
      <c r="K10" s="8">
        <f>-3.5*K15+K14</f>
        <v>-3.6639102104383454</v>
      </c>
      <c r="L10" s="1">
        <f>(K10-K$14)/K$15</f>
        <v>-3.5</v>
      </c>
      <c r="P10" s="8">
        <f>-3.5*P15+P14</f>
        <v>0</v>
      </c>
      <c r="Q10" s="1" t="e">
        <f>(P10-P$14)/P$15</f>
        <v>#DIV/0!</v>
      </c>
      <c r="U10" s="8">
        <f>-3.5*U15+U14</f>
        <v>-3.6424104255514798</v>
      </c>
      <c r="V10" s="1">
        <f>(U10-U$14)/U$15</f>
        <v>-3.5</v>
      </c>
      <c r="Z10" s="8">
        <f>-3.5*Z15+Z14</f>
        <v>-4.9304882853012231</v>
      </c>
      <c r="AA10" s="1">
        <f>(Z10-Z$14)/Z$15</f>
        <v>-3.5</v>
      </c>
      <c r="AE10" s="8">
        <f>-3.5*AE15+AE14</f>
        <v>-0.43651143232690104</v>
      </c>
      <c r="AF10" s="1">
        <f>(AE10-AE$14)/AE$15</f>
        <v>-3.5</v>
      </c>
      <c r="AJ10" s="8">
        <f>-3.5*AJ15+AJ14</f>
        <v>-9.1570711836587684</v>
      </c>
      <c r="AK10" s="1">
        <f>(AJ10-AJ$14)/AJ$15</f>
        <v>-3.4999999999999996</v>
      </c>
      <c r="AO10" s="8">
        <f>-3.5*AO15+AO14</f>
        <v>-8.3957757695008368</v>
      </c>
      <c r="AP10" s="1">
        <f>(AO10-AO$14)/AO$15</f>
        <v>-3.5</v>
      </c>
      <c r="AT10" s="8">
        <f>-3.5*AT15+AT14</f>
        <v>-6.1373616923466106</v>
      </c>
      <c r="AU10" s="1">
        <f>(AT10-AT$14)/AT$15</f>
        <v>-3.5</v>
      </c>
    </row>
    <row r="11" spans="1:47" x14ac:dyDescent="0.2">
      <c r="G11" s="11"/>
    </row>
    <row r="12" spans="1:47" x14ac:dyDescent="0.2">
      <c r="E12" t="s">
        <v>78</v>
      </c>
      <c r="F12" s="1">
        <f>AVERAGE(F2:F8)</f>
        <v>-4.0425747591703802E-2</v>
      </c>
      <c r="G12" s="13"/>
      <c r="J12" t="s">
        <v>78</v>
      </c>
      <c r="K12" s="1">
        <f>AVERAGE(K2:K8)</f>
        <v>-0.61519226732056531</v>
      </c>
      <c r="O12" t="s">
        <v>78</v>
      </c>
      <c r="P12" s="1">
        <f>AVERAGE(P2:P8)</f>
        <v>-0.83279690507369708</v>
      </c>
      <c r="T12" t="s">
        <v>78</v>
      </c>
      <c r="U12" s="1">
        <f>AVERAGE(U2:U8)</f>
        <v>-0.4410950422793129</v>
      </c>
      <c r="Y12" t="s">
        <v>78</v>
      </c>
      <c r="Z12" s="1">
        <f>AVERAGE(Z2:Z8)</f>
        <v>-3.3205815902099874E-2</v>
      </c>
      <c r="AD12" t="s">
        <v>78</v>
      </c>
      <c r="AE12" s="1">
        <f>AVERAGE(AE2:AE8)</f>
        <v>-0.33963697554237837</v>
      </c>
      <c r="AI12" t="s">
        <v>78</v>
      </c>
      <c r="AJ12" s="1">
        <f>AVERAGE(AJ2:AJ8)</f>
        <v>-0.72461828205493339</v>
      </c>
      <c r="AN12" t="s">
        <v>78</v>
      </c>
      <c r="AO12" s="1">
        <f>AVERAGE(AO2:AO8)</f>
        <v>-0.72941223358211182</v>
      </c>
      <c r="AS12" t="s">
        <v>78</v>
      </c>
      <c r="AT12" s="1">
        <f>AVERAGE(AT2:AT8)</f>
        <v>-0.61465849681940088</v>
      </c>
    </row>
    <row r="13" spans="1:47" x14ac:dyDescent="0.2">
      <c r="E13" t="s">
        <v>80</v>
      </c>
      <c r="F13" s="1">
        <f>_xlfn.STDEV.S(F2:F8)</f>
        <v>9.9203935544589547E-2</v>
      </c>
      <c r="G13" s="13"/>
      <c r="J13" t="s">
        <v>80</v>
      </c>
      <c r="K13" s="1">
        <f>_xlfn.STDEV.S(K2:K8)</f>
        <v>0.48281322948579874</v>
      </c>
      <c r="O13" t="s">
        <v>80</v>
      </c>
      <c r="P13" s="1">
        <f>_xlfn.STDEV.S(P2:P8)</f>
        <v>0.44237780761532308</v>
      </c>
      <c r="T13" t="s">
        <v>80</v>
      </c>
      <c r="U13" s="1">
        <f>_xlfn.STDEV.S(U2:U8)</f>
        <v>0.52943087993117932</v>
      </c>
      <c r="Y13" t="s">
        <v>80</v>
      </c>
      <c r="Z13" s="1">
        <f>_xlfn.STDEV.S(Z2:Z8)</f>
        <v>0.16742560628782888</v>
      </c>
      <c r="AD13" t="s">
        <v>80</v>
      </c>
      <c r="AE13" s="1">
        <f>_xlfn.STDEV.S(AE2:AE8)</f>
        <v>0.61931590831217886</v>
      </c>
      <c r="AI13" t="s">
        <v>80</v>
      </c>
      <c r="AJ13" s="1">
        <f>_xlfn.STDEV.S(AJ2:AJ8)</f>
        <v>0.48601746841761767</v>
      </c>
      <c r="AN13" t="s">
        <v>80</v>
      </c>
      <c r="AO13" s="1">
        <f>_xlfn.STDEV.S(AO2:AO8)</f>
        <v>0.47448161666609068</v>
      </c>
      <c r="AS13" t="s">
        <v>80</v>
      </c>
      <c r="AT13" s="1">
        <f>_xlfn.STDEV.S(AT2:AT8)</f>
        <v>0.49428084308969961</v>
      </c>
    </row>
    <row r="14" spans="1:47" x14ac:dyDescent="0.2">
      <c r="F14">
        <v>-0.34928178220557532</v>
      </c>
      <c r="K14" s="21">
        <v>-0.88814960968241208</v>
      </c>
      <c r="O14" s="21"/>
      <c r="P14" s="21"/>
      <c r="Q14" s="21"/>
      <c r="R14" s="21"/>
      <c r="S14" s="21"/>
      <c r="T14" s="21"/>
      <c r="U14" s="21">
        <v>-0.22120068580024632</v>
      </c>
      <c r="V14" s="21"/>
      <c r="W14" s="21"/>
      <c r="X14" s="21"/>
      <c r="Y14" s="21"/>
      <c r="Z14" s="21">
        <v>-0.36495496832177016</v>
      </c>
      <c r="AA14" s="21"/>
      <c r="AB14" s="21"/>
      <c r="AC14" s="21"/>
      <c r="AD14" s="21"/>
      <c r="AE14" s="21">
        <v>1.158884798180688</v>
      </c>
      <c r="AF14" s="21"/>
      <c r="AG14" s="21"/>
      <c r="AH14" s="21"/>
      <c r="AI14" s="21"/>
      <c r="AJ14" s="21">
        <v>-0.48461043208539589</v>
      </c>
      <c r="AK14" s="21"/>
      <c r="AL14" s="21"/>
      <c r="AM14" s="21"/>
      <c r="AN14" s="21"/>
      <c r="AO14" s="21">
        <v>-0.57413200081524884</v>
      </c>
      <c r="AP14" s="21"/>
      <c r="AQ14" s="21"/>
      <c r="AR14" s="21"/>
      <c r="AS14" s="21"/>
      <c r="AT14" s="21">
        <v>-0.9462518620113719</v>
      </c>
      <c r="AU14" s="21"/>
    </row>
    <row r="15" spans="1:47" x14ac:dyDescent="0.2">
      <c r="F15">
        <v>0.72394316978948103</v>
      </c>
      <c r="K15" s="21">
        <v>0.79307445735883808</v>
      </c>
      <c r="O15" s="21"/>
      <c r="P15" s="21"/>
      <c r="Q15" s="21"/>
      <c r="R15" s="21"/>
      <c r="S15" s="21"/>
      <c r="T15" s="21"/>
      <c r="U15" s="21">
        <v>0.97748849707178098</v>
      </c>
      <c r="V15" s="21"/>
      <c r="W15" s="21"/>
      <c r="X15" s="21"/>
      <c r="Y15" s="21"/>
      <c r="Z15" s="21">
        <v>1.3044380905655579</v>
      </c>
      <c r="AA15" s="21"/>
      <c r="AB15" s="21"/>
      <c r="AC15" s="21"/>
      <c r="AD15" s="21"/>
      <c r="AE15" s="21">
        <v>0.45582749443073972</v>
      </c>
      <c r="AF15" s="21"/>
      <c r="AG15" s="21"/>
      <c r="AH15" s="21"/>
      <c r="AI15" s="21"/>
      <c r="AJ15" s="21">
        <v>2.4778459290209636</v>
      </c>
      <c r="AK15" s="21"/>
      <c r="AL15" s="21"/>
      <c r="AM15" s="21"/>
      <c r="AN15" s="21"/>
      <c r="AO15" s="21">
        <v>2.2347553624815966</v>
      </c>
      <c r="AP15" s="21"/>
      <c r="AQ15" s="21"/>
      <c r="AR15" s="21"/>
      <c r="AS15" s="21"/>
      <c r="AT15" s="21">
        <v>1.4831742372386396</v>
      </c>
      <c r="AU15" s="21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A5B7-F067-354A-BA05-AC0390A85D0F}">
  <dimension ref="A1:L8"/>
  <sheetViews>
    <sheetView zoomScale="160" zoomScaleNormal="160" workbookViewId="0">
      <selection activeCell="L3" sqref="L3"/>
    </sheetView>
  </sheetViews>
  <sheetFormatPr baseColWidth="10" defaultRowHeight="16" x14ac:dyDescent="0.2"/>
  <cols>
    <col min="1" max="1" width="9.1640625" bestFit="1" customWidth="1"/>
    <col min="2" max="3" width="6.6640625" bestFit="1" customWidth="1"/>
    <col min="4" max="4" width="7.1640625" bestFit="1" customWidth="1"/>
    <col min="5" max="5" width="8.33203125" bestFit="1" customWidth="1"/>
    <col min="6" max="6" width="10.1640625" bestFit="1" customWidth="1"/>
    <col min="7" max="10" width="6.6640625" bestFit="1" customWidth="1"/>
  </cols>
  <sheetData>
    <row r="1" spans="1:12" x14ac:dyDescent="0.2">
      <c r="A1" t="s">
        <v>317</v>
      </c>
      <c r="B1" s="10" t="str">
        <f>PPs!C1</f>
        <v>more</v>
      </c>
      <c r="C1" s="10" t="str">
        <f>PPs!H1</f>
        <v>less</v>
      </c>
      <c r="D1" s="10" t="str">
        <f>PPs!M1</f>
        <v>enough</v>
      </c>
      <c r="E1" s="10" t="s">
        <v>88</v>
      </c>
      <c r="F1" s="10" t="s">
        <v>67</v>
      </c>
      <c r="G1" s="10" t="str">
        <f>PPs!AB1</f>
        <v>a little</v>
      </c>
      <c r="H1" s="10" t="str">
        <f>PPs!AG1</f>
        <v>no</v>
      </c>
      <c r="I1" s="10" t="str">
        <f>PPs!AL1</f>
        <v>any</v>
      </c>
      <c r="J1" s="10" t="s">
        <v>286</v>
      </c>
    </row>
    <row r="2" spans="1:12" x14ac:dyDescent="0.2">
      <c r="A2" t="s">
        <v>279</v>
      </c>
      <c r="B2" s="8">
        <f>PPs!F2</f>
        <v>-0.14496900470035806</v>
      </c>
      <c r="C2" s="8">
        <f>PPs!K2</f>
        <v>-1</v>
      </c>
      <c r="D2" s="8">
        <f>PPs!P2</f>
        <v>0.1704216644841208</v>
      </c>
      <c r="E2" s="8">
        <f>PPs!U2</f>
        <v>-0.10426598419224818</v>
      </c>
      <c r="F2" s="8">
        <f>PPs!Z2</f>
        <v>-0.20741102901055511</v>
      </c>
      <c r="G2" s="8">
        <f>PPs!AE2</f>
        <v>-1</v>
      </c>
      <c r="H2" s="8">
        <f>PPs!AJ2</f>
        <v>-0.24848896513979435</v>
      </c>
      <c r="I2" s="8">
        <f>PPs!AO2</f>
        <v>-0.23933808164236275</v>
      </c>
      <c r="J2" s="8">
        <f>PPs!AT2</f>
        <v>-1</v>
      </c>
    </row>
    <row r="3" spans="1:12" x14ac:dyDescent="0.2">
      <c r="A3" t="s">
        <v>280</v>
      </c>
      <c r="B3" s="8">
        <f>PPs!F3</f>
        <v>-5.9273818031053381E-2</v>
      </c>
      <c r="C3" s="8">
        <f>PPs!K3</f>
        <v>-1</v>
      </c>
      <c r="D3" s="8">
        <f>PPs!P3</f>
        <v>-1</v>
      </c>
      <c r="E3" s="8">
        <f>PPs!U3</f>
        <v>-1</v>
      </c>
      <c r="F3" s="8">
        <f>PPs!Z3</f>
        <v>0.198776795362655</v>
      </c>
      <c r="G3" s="8">
        <f>PPs!AE3</f>
        <v>0.21928640209573505</v>
      </c>
      <c r="H3" s="8">
        <f>PPs!AJ3</f>
        <v>0.17616099075526095</v>
      </c>
      <c r="I3" s="8">
        <f>PPs!AO3</f>
        <v>0.13345244656757987</v>
      </c>
      <c r="J3" s="8">
        <f>PPs!AT3</f>
        <v>-1</v>
      </c>
      <c r="L3" s="1">
        <f>MAX(A1:J8)</f>
        <v>0.21928640209573505</v>
      </c>
    </row>
    <row r="4" spans="1:12" x14ac:dyDescent="0.2">
      <c r="A4" t="s">
        <v>285</v>
      </c>
      <c r="B4" s="8">
        <f>PPs!F4</f>
        <v>-0.10494665758522548</v>
      </c>
      <c r="C4" s="8">
        <f>PPs!K4</f>
        <v>-0.18171621957643527</v>
      </c>
      <c r="D4" s="8">
        <f>PPs!P4</f>
        <v>-1</v>
      </c>
      <c r="E4" s="8">
        <f>PPs!U4</f>
        <v>-0.12678923745208209</v>
      </c>
      <c r="F4" s="8">
        <f>PPs!Z4</f>
        <v>-0.21402628803114204</v>
      </c>
      <c r="G4" s="8">
        <f>PPs!AE4</f>
        <v>-1</v>
      </c>
      <c r="H4" s="8">
        <f>PPs!AJ4</f>
        <v>-1</v>
      </c>
      <c r="I4" s="8">
        <f>PPs!AO4</f>
        <v>-1</v>
      </c>
      <c r="J4" s="8">
        <f>PPs!AT4</f>
        <v>-0.23460497994794655</v>
      </c>
    </row>
    <row r="5" spans="1:12" x14ac:dyDescent="0.2">
      <c r="A5" t="s">
        <v>284</v>
      </c>
      <c r="B5" s="8">
        <f>PPs!F5</f>
        <v>7.1639823333395719E-2</v>
      </c>
      <c r="C5" s="8">
        <f>PPs!K5</f>
        <v>-0.12187701309056481</v>
      </c>
      <c r="D5" s="8">
        <f>PPs!P5</f>
        <v>-1</v>
      </c>
      <c r="E5" s="8">
        <f>PPs!U5</f>
        <v>-1</v>
      </c>
      <c r="F5" s="8">
        <f>PPs!Z5</f>
        <v>-8.0809289666119832E-2</v>
      </c>
      <c r="G5" s="8">
        <f>PPs!AE5</f>
        <v>-1</v>
      </c>
      <c r="H5" s="8">
        <f>PPs!AJ5</f>
        <v>-1</v>
      </c>
      <c r="I5" s="8">
        <f>PPs!AO5</f>
        <v>-1</v>
      </c>
      <c r="J5" s="8">
        <f>PPs!AT5</f>
        <v>0.12903913018315769</v>
      </c>
    </row>
    <row r="6" spans="1:12" x14ac:dyDescent="0.2">
      <c r="A6" t="s">
        <v>281</v>
      </c>
      <c r="B6" s="8">
        <f>PPs!F6</f>
        <v>-0.12080456168144942</v>
      </c>
      <c r="C6" s="8">
        <f>PPs!K6</f>
        <v>-1</v>
      </c>
      <c r="D6" s="8">
        <f>PPs!P6</f>
        <v>-1</v>
      </c>
      <c r="E6" s="8">
        <f>PPs!U6</f>
        <v>0.12874297956781541</v>
      </c>
      <c r="F6" s="8">
        <f>PPs!Z6</f>
        <v>-9.1566471203447658E-2</v>
      </c>
      <c r="G6" s="8">
        <f>PPs!AE6</f>
        <v>0.19918486498885452</v>
      </c>
      <c r="H6" s="8">
        <f>PPs!AJ6</f>
        <v>-1</v>
      </c>
      <c r="I6" s="8">
        <f>PPs!AO6</f>
        <v>-1</v>
      </c>
      <c r="J6" s="8">
        <f>PPs!AT6</f>
        <v>-1</v>
      </c>
    </row>
    <row r="7" spans="1:12" x14ac:dyDescent="0.2">
      <c r="A7" t="s">
        <v>282</v>
      </c>
      <c r="B7" s="8">
        <f>PPs!F7</f>
        <v>0.11635842474423674</v>
      </c>
      <c r="C7" s="8">
        <f>PPs!K7</f>
        <v>-2.7526385769571829E-3</v>
      </c>
      <c r="D7" s="8">
        <f>PPs!P7</f>
        <v>-1</v>
      </c>
      <c r="E7" s="8">
        <f>PPs!U7</f>
        <v>-1</v>
      </c>
      <c r="F7" s="8">
        <f>PPs!Z7</f>
        <v>0.17987355388041482</v>
      </c>
      <c r="G7" s="8">
        <f>PPs!AE7</f>
        <v>9.1967868270794992E-2</v>
      </c>
      <c r="H7" s="8">
        <f>PPs!AJ7</f>
        <v>-1</v>
      </c>
      <c r="I7" s="8">
        <f>PPs!AO7</f>
        <v>-1</v>
      </c>
      <c r="J7" s="8">
        <f>PPs!AT7</f>
        <v>-1</v>
      </c>
    </row>
    <row r="8" spans="1:12" x14ac:dyDescent="0.2">
      <c r="A8" t="s">
        <v>283</v>
      </c>
      <c r="B8" s="8">
        <f>PPs!F8</f>
        <v>-4.0984439221472733E-2</v>
      </c>
      <c r="C8" s="8">
        <f>PPs!K8</f>
        <v>-1</v>
      </c>
      <c r="D8" s="8">
        <f>PPs!P8</f>
        <v>-1</v>
      </c>
      <c r="E8" s="8">
        <f>PPs!U8</f>
        <v>1.4646946121324278E-2</v>
      </c>
      <c r="F8" s="8">
        <f>PPs!Z8</f>
        <v>-1.7277982646504247E-2</v>
      </c>
      <c r="G8" s="8">
        <f>PPs!AE8</f>
        <v>0.11210203584796698</v>
      </c>
      <c r="H8" s="8">
        <f>PPs!AJ8</f>
        <v>-1</v>
      </c>
      <c r="I8" s="8">
        <f>PPs!AO8</f>
        <v>-1</v>
      </c>
      <c r="J8" s="8">
        <f>PPs!AT8</f>
        <v>-0.19704362797101729</v>
      </c>
    </row>
  </sheetData>
  <conditionalFormatting sqref="B2:J8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6316-1994-974A-9F36-A4622B2FC8FC}">
  <dimension ref="A1:AI20"/>
  <sheetViews>
    <sheetView zoomScale="130" zoomScaleNormal="130" workbookViewId="0">
      <pane xSplit="2" ySplit="1" topLeftCell="U2" activePane="bottomRight" state="frozen"/>
      <selection pane="topRight" activeCell="C1" sqref="C1"/>
      <selection pane="bottomLeft" activeCell="A6" sqref="A6"/>
      <selection pane="bottomRight" activeCell="AH6" sqref="AH6"/>
    </sheetView>
  </sheetViews>
  <sheetFormatPr baseColWidth="10" defaultRowHeight="16" x14ac:dyDescent="0.2"/>
  <cols>
    <col min="1" max="1" width="19.33203125" bestFit="1" customWidth="1"/>
    <col min="2" max="2" width="10.5" bestFit="1" customWidth="1"/>
    <col min="3" max="3" width="23.33203125" bestFit="1" customWidth="1"/>
    <col min="4" max="4" width="10.5" bestFit="1" customWidth="1"/>
    <col min="5" max="5" width="10.33203125" bestFit="1" customWidth="1"/>
    <col min="6" max="6" width="6.6640625" bestFit="1" customWidth="1"/>
    <col min="7" max="7" width="22.1640625" bestFit="1" customWidth="1"/>
    <col min="8" max="8" width="9" bestFit="1" customWidth="1"/>
    <col min="9" max="9" width="10.33203125" bestFit="1" customWidth="1"/>
    <col min="10" max="10" width="6.6640625" bestFit="1" customWidth="1"/>
    <col min="11" max="11" width="26" bestFit="1" customWidth="1"/>
    <col min="12" max="12" width="10.5" bestFit="1" customWidth="1"/>
    <col min="13" max="13" width="10.33203125" bestFit="1" customWidth="1"/>
    <col min="14" max="14" width="6.6640625" bestFit="1" customWidth="1"/>
    <col min="15" max="15" width="27.5" bestFit="1" customWidth="1"/>
    <col min="16" max="16" width="7" bestFit="1" customWidth="1"/>
    <col min="17" max="17" width="10.33203125" bestFit="1" customWidth="1"/>
    <col min="18" max="18" width="6.6640625" bestFit="1" customWidth="1"/>
    <col min="19" max="19" width="27.5" bestFit="1" customWidth="1"/>
    <col min="20" max="20" width="7" bestFit="1" customWidth="1"/>
    <col min="21" max="21" width="10.33203125" bestFit="1" customWidth="1"/>
    <col min="22" max="23" width="6.6640625" customWidth="1"/>
    <col min="24" max="24" width="24.83203125" bestFit="1" customWidth="1"/>
    <col min="25" max="25" width="8" bestFit="1" customWidth="1"/>
    <col min="26" max="26" width="10.33203125" bestFit="1" customWidth="1"/>
    <col min="27" max="27" width="6.6640625" bestFit="1" customWidth="1"/>
    <col min="28" max="28" width="21.1640625" bestFit="1" customWidth="1"/>
    <col min="29" max="29" width="9" bestFit="1" customWidth="1"/>
    <col min="30" max="30" width="10.33203125" bestFit="1" customWidth="1"/>
    <col min="31" max="31" width="6.6640625" bestFit="1" customWidth="1"/>
    <col min="32" max="32" width="22.5" bestFit="1" customWidth="1"/>
    <col min="33" max="33" width="10.5" bestFit="1" customWidth="1"/>
    <col min="34" max="34" width="10.33203125" bestFit="1" customWidth="1"/>
    <col min="35" max="35" width="6.6640625" bestFit="1" customWidth="1"/>
  </cols>
  <sheetData>
    <row r="1" spans="1:35" x14ac:dyDescent="0.2">
      <c r="C1" s="10" t="s">
        <v>83</v>
      </c>
      <c r="D1" t="s">
        <v>6</v>
      </c>
      <c r="E1" t="s">
        <v>272</v>
      </c>
      <c r="F1" t="s">
        <v>76</v>
      </c>
      <c r="G1" s="10" t="s">
        <v>82</v>
      </c>
      <c r="H1" t="s">
        <v>6</v>
      </c>
      <c r="I1" t="s">
        <v>272</v>
      </c>
      <c r="J1" t="s">
        <v>76</v>
      </c>
      <c r="K1" s="10" t="s">
        <v>298</v>
      </c>
      <c r="L1" t="s">
        <v>6</v>
      </c>
      <c r="M1" t="s">
        <v>272</v>
      </c>
      <c r="N1" t="s">
        <v>76</v>
      </c>
      <c r="O1" s="22" t="s">
        <v>290</v>
      </c>
      <c r="P1" t="s">
        <v>6</v>
      </c>
      <c r="Q1" t="s">
        <v>272</v>
      </c>
      <c r="R1" t="s">
        <v>76</v>
      </c>
      <c r="S1" s="22" t="s">
        <v>319</v>
      </c>
      <c r="T1" t="s">
        <v>6</v>
      </c>
      <c r="U1" t="s">
        <v>272</v>
      </c>
      <c r="V1" t="s">
        <v>76</v>
      </c>
      <c r="W1" t="s">
        <v>318</v>
      </c>
      <c r="X1" s="10" t="s">
        <v>291</v>
      </c>
      <c r="Y1" t="s">
        <v>6</v>
      </c>
      <c r="Z1" t="s">
        <v>272</v>
      </c>
      <c r="AA1" t="s">
        <v>76</v>
      </c>
      <c r="AB1" s="10" t="s">
        <v>292</v>
      </c>
      <c r="AC1" t="s">
        <v>6</v>
      </c>
      <c r="AD1" t="s">
        <v>272</v>
      </c>
      <c r="AE1" t="s">
        <v>76</v>
      </c>
      <c r="AF1" s="22" t="s">
        <v>293</v>
      </c>
      <c r="AG1" t="s">
        <v>6</v>
      </c>
      <c r="AH1" t="s">
        <v>272</v>
      </c>
      <c r="AI1" t="s">
        <v>76</v>
      </c>
    </row>
    <row r="2" spans="1:35" x14ac:dyDescent="0.2">
      <c r="A2" s="10" t="s">
        <v>99</v>
      </c>
      <c r="B2" s="12">
        <v>151673</v>
      </c>
      <c r="C2" t="str">
        <f t="shared" ref="C2:C13" si="0">_xlfn.CONCAT(C$1," ",$A2)</f>
        <v>more recent</v>
      </c>
      <c r="D2" s="12">
        <v>4960</v>
      </c>
      <c r="E2" s="12"/>
      <c r="F2" s="13">
        <f>IF(D2=0,-1,LOG((D2/1002889754) / (($B2/1002889754) * (D$14/1002889754)), 2) / -LOG(D2/1002889754, 2))</f>
        <v>0.21796750996735068</v>
      </c>
      <c r="G2" t="str">
        <f t="shared" ref="G2:G13" si="1">_xlfn.CONCAT(G$1," ",$A2)</f>
        <v>less recent</v>
      </c>
      <c r="H2" s="12">
        <v>5</v>
      </c>
      <c r="I2" s="12">
        <v>476</v>
      </c>
      <c r="J2" s="13">
        <f>IF(H2=0,-1,LOG((H2/1002889754) / (($B2/1002889754) * (H$14/1002889754)), 2) / -LOG(H2/1002889754, 2))</f>
        <v>-0.12181244488977183</v>
      </c>
      <c r="K2" t="str">
        <f t="shared" ref="K2:K13" si="2">_xlfn.CONCAT(K$1," ",$A2)</f>
        <v>how.[r*] recent</v>
      </c>
      <c r="L2" s="12">
        <v>42</v>
      </c>
      <c r="M2" s="12">
        <v>42</v>
      </c>
      <c r="N2" s="13">
        <f>IF(L2=0,-1,LOG((L2/1002889754) / (($B2/1002889754) * (L$14/1002889754)), 2) / -LOG(L2/1002889754, 2))</f>
        <v>-0.10547683550305922</v>
      </c>
      <c r="O2" t="str">
        <f t="shared" ref="O2:O13" si="3">_xlfn.CONCAT(O$1," ",$A2)</f>
        <v>amazingly recent</v>
      </c>
      <c r="P2" s="12">
        <v>1</v>
      </c>
      <c r="Q2" s="12"/>
      <c r="R2" s="13">
        <f>IF(P2=0,-1,LOG((P2/1002889754) / (($B2/1002889754) * (P$14/1002889754)), 2) / -LOG(P2/1002889754, 2))</f>
        <v>1.4993635300184965E-2</v>
      </c>
      <c r="S2" t="str">
        <f t="shared" ref="S2:S13" si="4">_xlfn.CONCAT(S$1," ",$A2)</f>
        <v>remarkably recent</v>
      </c>
      <c r="T2" s="12">
        <v>0</v>
      </c>
      <c r="U2" s="12"/>
      <c r="V2" s="13">
        <f>IF(T2=0,-1,LOG((T2/1002889754) / (($B2/1002889754) * (T$14/1002889754)), 2) / -LOG(T2/1002889754, 2))</f>
        <v>-1</v>
      </c>
      <c r="W2" s="13">
        <f>AVERAGE(V2,R2)</f>
        <v>-0.49250318234990753</v>
      </c>
      <c r="X2" t="str">
        <f>_xlfn.CONCAT(X$1," ",$A2)</f>
        <v>slightly recent</v>
      </c>
      <c r="Y2" s="12">
        <v>0</v>
      </c>
      <c r="Z2" s="12"/>
      <c r="AA2" s="13">
        <f>IF(Y2=0,-1,LOG((Y2/1002889754) / (($B2/1002889754) * (Y$14/1002889754)), 2) / -LOG(Y2/1002889754, 2))</f>
        <v>-1</v>
      </c>
      <c r="AB2" t="str">
        <f t="shared" ref="AB2:AB13" si="5">_xlfn.CONCAT(AB$1," ",$A2)</f>
        <v>far recent</v>
      </c>
      <c r="AC2" s="12">
        <v>0</v>
      </c>
      <c r="AD2" s="12">
        <v>1</v>
      </c>
      <c r="AE2" s="13">
        <f>IF(AC2=0,-1,LOG((AC2/1002889754) / (($B2/1002889754) * (AC$14/1002889754)), 2) / -LOG(AC2/1002889754, 2))</f>
        <v>-1</v>
      </c>
      <c r="AF2" t="str">
        <f t="shared" ref="AF2:AF13" si="6">_xlfn.CONCAT(AF$1," ",$A2)</f>
        <v>very recent</v>
      </c>
      <c r="AG2" s="12">
        <v>459</v>
      </c>
      <c r="AH2" s="12"/>
      <c r="AI2" s="13">
        <f>IF(AG2=0,-1,LOG((AG2/1002889754) / (($B2/1002889754) * (AG$14/1002889754)), 2) / -LOG(AG2/1002889754, 2))</f>
        <v>7.3511496370223792E-2</v>
      </c>
    </row>
    <row r="3" spans="1:35" x14ac:dyDescent="0.2">
      <c r="A3" s="10" t="s">
        <v>10</v>
      </c>
      <c r="B3" s="12">
        <v>471300</v>
      </c>
      <c r="C3" t="str">
        <f t="shared" si="0"/>
        <v>more big</v>
      </c>
      <c r="D3" s="12">
        <f>0.06*481</f>
        <v>28.86</v>
      </c>
      <c r="E3" s="12">
        <f>481-D3</f>
        <v>452.14</v>
      </c>
      <c r="F3" s="13">
        <f t="shared" ref="F3:F13" si="7">IF(D3=0,-1,LOG((D3/1002889754) / (($B3/1002889754) * (D$14/1002889754)), 2) / -LOG(D3/1002889754, 2))</f>
        <v>-0.20834076284098313</v>
      </c>
      <c r="G3" t="str">
        <f t="shared" si="1"/>
        <v>less big</v>
      </c>
      <c r="H3" s="12">
        <v>16</v>
      </c>
      <c r="I3" s="12">
        <v>13</v>
      </c>
      <c r="J3" s="13">
        <f t="shared" ref="J3:J13" si="8">IF(H3=0,-1,LOG((H3/1002889754) / (($B3/1002889754) * (H$14/1002889754)), 2) / -LOG(H3/1002889754, 2))</f>
        <v>-0.12806765909193596</v>
      </c>
      <c r="K3" t="str">
        <f t="shared" si="2"/>
        <v>how.[r*] big</v>
      </c>
      <c r="L3" s="12">
        <f>0.97*5200</f>
        <v>5044</v>
      </c>
      <c r="M3" s="12">
        <f>0.03*5200</f>
        <v>156</v>
      </c>
      <c r="N3" s="13">
        <f t="shared" ref="N3:N13" si="9">IF(L3=0,-1,LOG((L3/1002889754) / (($B3/1002889754) * (L$14/1002889754)), 2) / -LOG(L3/1002889754, 2))</f>
        <v>0.15267178664763487</v>
      </c>
      <c r="O3" t="str">
        <f t="shared" si="3"/>
        <v>amazingly big</v>
      </c>
      <c r="P3" s="12">
        <v>3</v>
      </c>
      <c r="Q3" s="12"/>
      <c r="R3" s="13">
        <f t="shared" ref="R3:R13" si="10">IF(P3=0,-1,LOG((P3/1002889754) / (($B3/1002889754) * (P$14/1002889754)), 2) / -LOG(P3/1002889754, 2))</f>
        <v>1.4041734733956946E-2</v>
      </c>
      <c r="S3" t="str">
        <f t="shared" si="4"/>
        <v>remarkably big</v>
      </c>
      <c r="T3" s="12">
        <v>1</v>
      </c>
      <c r="U3" s="12"/>
      <c r="V3" s="13">
        <f t="shared" ref="V3:V13" si="11">IF(T3=0,-1,LOG((T3/1002889754) / (($B3/1002889754) * (T$14/1002889754)), 2) / -LOG(T3/1002889754, 2))</f>
        <v>-3.9708654724779247E-2</v>
      </c>
      <c r="W3" s="13">
        <f t="shared" ref="W3:W13" si="12">AVERAGE(V3,R3)</f>
        <v>-1.2833459995411151E-2</v>
      </c>
      <c r="X3" t="str">
        <f t="shared" ref="X3:X13" si="13">_xlfn.CONCAT(X$1," ",$A3)</f>
        <v>slightly big</v>
      </c>
      <c r="Y3" s="12">
        <v>5</v>
      </c>
      <c r="Z3" s="12"/>
      <c r="AA3" s="13">
        <f t="shared" ref="AA3:AA13" si="14">IF(Y3=0,-1,LOG((Y3/1002889754) / (($B3/1002889754) * (Y$14/1002889754)), 2) / -LOG(Y3/1002889754, 2))</f>
        <v>-8.63399986765961E-2</v>
      </c>
      <c r="AB3" t="str">
        <f t="shared" si="5"/>
        <v>far big</v>
      </c>
      <c r="AC3" s="12">
        <v>0</v>
      </c>
      <c r="AD3" s="12">
        <v>3</v>
      </c>
      <c r="AE3" s="13">
        <f t="shared" ref="AE3:AE13" si="15">IF(AC3=0,-1,LOG((AC3/1002889754) / (($B3/1002889754) * (AC$14/1002889754)), 2) / -LOG(AC3/1002889754, 2))</f>
        <v>-1</v>
      </c>
      <c r="AF3" t="str">
        <f t="shared" si="6"/>
        <v>very big</v>
      </c>
      <c r="AG3" s="12">
        <v>5381</v>
      </c>
      <c r="AH3" s="12"/>
      <c r="AI3" s="13">
        <f t="shared" ref="AI3:AI13" si="16">IF(AG3=0,-1,LOG((AG3/1002889754) / (($B3/1002889754) * (AG$14/1002889754)), 2) / -LOG(AG3/1002889754, 2))</f>
        <v>0.19783789465461979</v>
      </c>
    </row>
    <row r="4" spans="1:35" x14ac:dyDescent="0.2">
      <c r="A4" s="10" t="s">
        <v>24</v>
      </c>
      <c r="B4" s="12">
        <v>55556</v>
      </c>
      <c r="C4" t="str">
        <f t="shared" si="0"/>
        <v>more bigger</v>
      </c>
      <c r="D4" s="12">
        <v>14</v>
      </c>
      <c r="E4" s="12">
        <v>3</v>
      </c>
      <c r="F4" s="13">
        <f t="shared" si="7"/>
        <v>-0.12179188842707041</v>
      </c>
      <c r="G4" t="str">
        <f t="shared" si="1"/>
        <v>less bigger</v>
      </c>
      <c r="H4" s="12">
        <v>1</v>
      </c>
      <c r="I4" s="12">
        <v>1</v>
      </c>
      <c r="J4" s="13">
        <f t="shared" si="8"/>
        <v>-0.14154852470809251</v>
      </c>
      <c r="K4" t="str">
        <f t="shared" si="2"/>
        <v>how.[r*] bigger</v>
      </c>
      <c r="L4" s="12">
        <v>2</v>
      </c>
      <c r="M4" s="12">
        <v>7</v>
      </c>
      <c r="N4" s="13">
        <f t="shared" si="9"/>
        <v>-0.19128825239874875</v>
      </c>
      <c r="O4" t="str">
        <f t="shared" si="3"/>
        <v>amazingly bigger</v>
      </c>
      <c r="P4" s="12">
        <v>0</v>
      </c>
      <c r="Q4" s="12"/>
      <c r="R4" s="13">
        <f t="shared" si="10"/>
        <v>-1</v>
      </c>
      <c r="S4" t="str">
        <f t="shared" si="4"/>
        <v>remarkably bigger</v>
      </c>
      <c r="T4" s="12">
        <v>0</v>
      </c>
      <c r="U4" s="12"/>
      <c r="V4" s="13">
        <f t="shared" si="11"/>
        <v>-1</v>
      </c>
      <c r="W4" s="13">
        <f t="shared" si="12"/>
        <v>-1</v>
      </c>
      <c r="X4" t="str">
        <f t="shared" si="13"/>
        <v>slightly bigger</v>
      </c>
      <c r="Y4" s="12">
        <v>188</v>
      </c>
      <c r="Z4" s="12"/>
      <c r="AA4" s="13">
        <f t="shared" si="14"/>
        <v>0.26563250617614931</v>
      </c>
      <c r="AB4" t="str">
        <f t="shared" si="5"/>
        <v>far bigger</v>
      </c>
      <c r="AC4" s="12">
        <v>371</v>
      </c>
      <c r="AD4" s="12"/>
      <c r="AE4" s="13">
        <f t="shared" si="15"/>
        <v>0.20293327440515921</v>
      </c>
      <c r="AF4" t="str">
        <f t="shared" si="6"/>
        <v>very bigger</v>
      </c>
      <c r="AG4" s="12">
        <v>4</v>
      </c>
      <c r="AH4" s="12"/>
      <c r="AI4" s="13">
        <f t="shared" si="16"/>
        <v>-0.13781724036785895</v>
      </c>
    </row>
    <row r="5" spans="1:35" x14ac:dyDescent="0.2">
      <c r="A5" t="s">
        <v>321</v>
      </c>
      <c r="B5" s="12">
        <v>1695603</v>
      </c>
      <c r="C5" t="str">
        <f t="shared" si="0"/>
        <v>more JJR</v>
      </c>
      <c r="D5" s="12">
        <f>0.8*1038</f>
        <v>830.40000000000009</v>
      </c>
      <c r="E5" s="12">
        <f>1038-D5</f>
        <v>207.59999999999991</v>
      </c>
      <c r="F5" s="13">
        <f t="shared" si="7"/>
        <v>-0.10985336734585313</v>
      </c>
      <c r="G5" t="str">
        <f t="shared" si="1"/>
        <v>less JJR</v>
      </c>
      <c r="H5" s="12">
        <v>69</v>
      </c>
      <c r="I5" s="12">
        <v>10</v>
      </c>
      <c r="J5" s="13">
        <f t="shared" si="8"/>
        <v>-0.12842869701124515</v>
      </c>
      <c r="K5" t="str">
        <f t="shared" si="2"/>
        <v>how.[r*] JJR</v>
      </c>
      <c r="L5" s="12">
        <v>65</v>
      </c>
      <c r="M5" s="12">
        <f>462-L5</f>
        <v>397</v>
      </c>
      <c r="N5" s="13">
        <f t="shared" si="9"/>
        <v>-0.2277243945308095</v>
      </c>
      <c r="O5" t="s">
        <v>327</v>
      </c>
      <c r="P5" s="12">
        <v>5</v>
      </c>
      <c r="Q5" s="12"/>
      <c r="R5" s="13">
        <f t="shared" si="10"/>
        <v>-2.5834385851080961E-2</v>
      </c>
      <c r="S5" t="s">
        <v>328</v>
      </c>
      <c r="T5" s="12">
        <v>30</v>
      </c>
      <c r="U5" s="12">
        <v>32</v>
      </c>
      <c r="V5" s="13">
        <f t="shared" ref="V5:V7" si="17">IF(T5=0,-1,LOG((T5/1002889754) / (($B5/1002889754) * (T$14/1002889754)), 2) / -LOG(T5/1002889754, 2))</f>
        <v>7.4914537321765479E-2</v>
      </c>
      <c r="W5" s="13">
        <f t="shared" ref="W5:W7" si="18">AVERAGE(V5,R5)</f>
        <v>2.4540075735342261E-2</v>
      </c>
      <c r="X5" t="s">
        <v>329</v>
      </c>
      <c r="Y5" s="12">
        <f>7541*0.98</f>
        <v>7390.18</v>
      </c>
      <c r="Z5" s="12">
        <f>7541-Y5</f>
        <v>150.81999999999971</v>
      </c>
      <c r="AA5" s="13">
        <f t="shared" si="14"/>
        <v>0.36956704776670696</v>
      </c>
      <c r="AB5" t="s">
        <v>330</v>
      </c>
      <c r="AC5" s="12">
        <f>13468*0.97</f>
        <v>13063.96</v>
      </c>
      <c r="AD5" s="12">
        <f>13468-AC5</f>
        <v>404.04000000000087</v>
      </c>
      <c r="AE5" s="13">
        <f t="shared" si="15"/>
        <v>0.27989767220779282</v>
      </c>
      <c r="AF5" t="s">
        <v>331</v>
      </c>
      <c r="AG5" s="12">
        <v>46</v>
      </c>
      <c r="AH5" s="12">
        <f>56-AG5</f>
        <v>10</v>
      </c>
      <c r="AI5" s="13">
        <f t="shared" si="16"/>
        <v>-0.21550044213341329</v>
      </c>
    </row>
    <row r="6" spans="1:35" x14ac:dyDescent="0.2">
      <c r="A6" s="10" t="s">
        <v>294</v>
      </c>
      <c r="B6" s="12">
        <v>74505</v>
      </c>
      <c r="C6" t="str">
        <f t="shared" si="0"/>
        <v>more biggest</v>
      </c>
      <c r="D6" s="12">
        <v>0</v>
      </c>
      <c r="E6" s="12"/>
      <c r="F6" s="13">
        <f t="shared" si="7"/>
        <v>-1</v>
      </c>
      <c r="G6" t="str">
        <f t="shared" si="1"/>
        <v>less biggest</v>
      </c>
      <c r="H6" s="12">
        <v>0</v>
      </c>
      <c r="I6" s="12">
        <v>2</v>
      </c>
      <c r="J6" s="13">
        <f t="shared" si="8"/>
        <v>-1</v>
      </c>
      <c r="K6" t="str">
        <f t="shared" si="2"/>
        <v>how.[r*] biggest</v>
      </c>
      <c r="L6" s="12">
        <v>0</v>
      </c>
      <c r="M6" s="12"/>
      <c r="N6" s="13">
        <f t="shared" si="9"/>
        <v>-1</v>
      </c>
      <c r="O6" t="str">
        <f t="shared" si="3"/>
        <v>amazingly biggest</v>
      </c>
      <c r="P6" s="12">
        <v>0</v>
      </c>
      <c r="Q6" s="12"/>
      <c r="R6" s="13">
        <f t="shared" si="10"/>
        <v>-1</v>
      </c>
      <c r="S6" t="str">
        <f t="shared" si="4"/>
        <v>remarkably biggest</v>
      </c>
      <c r="T6" s="12">
        <v>0</v>
      </c>
      <c r="U6" s="12"/>
      <c r="V6" s="13">
        <f t="shared" si="17"/>
        <v>-1</v>
      </c>
      <c r="W6" s="13">
        <f t="shared" si="18"/>
        <v>-1</v>
      </c>
      <c r="X6" t="str">
        <f t="shared" si="13"/>
        <v>slightly biggest</v>
      </c>
      <c r="Y6" s="12">
        <v>0</v>
      </c>
      <c r="Z6" s="12"/>
      <c r="AA6" s="13">
        <f t="shared" si="14"/>
        <v>-1</v>
      </c>
      <c r="AB6" t="str">
        <f t="shared" si="5"/>
        <v>far biggest</v>
      </c>
      <c r="AC6" s="12">
        <v>0</v>
      </c>
      <c r="AD6" s="12"/>
      <c r="AE6" s="13">
        <f t="shared" si="15"/>
        <v>-1</v>
      </c>
      <c r="AF6" t="str">
        <f t="shared" si="6"/>
        <v>very biggest</v>
      </c>
      <c r="AG6" s="12">
        <v>0</v>
      </c>
      <c r="AH6" s="12">
        <v>32</v>
      </c>
      <c r="AI6" s="13">
        <f t="shared" si="16"/>
        <v>-1</v>
      </c>
    </row>
    <row r="7" spans="1:35" x14ac:dyDescent="0.2">
      <c r="A7" t="s">
        <v>322</v>
      </c>
      <c r="B7" s="12">
        <v>1080269</v>
      </c>
      <c r="C7" t="str">
        <f t="shared" si="0"/>
        <v>more JJT</v>
      </c>
      <c r="D7" s="12">
        <v>5</v>
      </c>
      <c r="E7" s="12">
        <v>28</v>
      </c>
      <c r="F7" s="13">
        <f t="shared" si="7"/>
        <v>-0.32432638599422514</v>
      </c>
      <c r="G7" t="str">
        <f t="shared" si="1"/>
        <v>less JJT</v>
      </c>
      <c r="H7" s="12">
        <v>4</v>
      </c>
      <c r="I7" s="12">
        <v>1</v>
      </c>
      <c r="J7" s="13">
        <f t="shared" si="8"/>
        <v>-0.23345754952077655</v>
      </c>
      <c r="K7" t="str">
        <f t="shared" si="2"/>
        <v>how.[r*] JJT</v>
      </c>
      <c r="L7" s="12"/>
      <c r="M7" s="12"/>
      <c r="N7" s="13">
        <f t="shared" si="9"/>
        <v>-1</v>
      </c>
      <c r="O7" t="str">
        <f t="shared" si="3"/>
        <v>amazingly JJT</v>
      </c>
      <c r="P7" s="12"/>
      <c r="Q7" s="12"/>
      <c r="R7" s="13">
        <f t="shared" si="10"/>
        <v>-1</v>
      </c>
      <c r="S7" t="str">
        <f t="shared" si="4"/>
        <v>remarkably JJT</v>
      </c>
      <c r="T7" s="12"/>
      <c r="U7" s="12"/>
      <c r="V7" s="13">
        <f t="shared" si="17"/>
        <v>-1</v>
      </c>
      <c r="W7" s="13">
        <f t="shared" si="18"/>
        <v>-1</v>
      </c>
      <c r="X7" t="str">
        <f t="shared" si="13"/>
        <v>slightly JJT</v>
      </c>
      <c r="Y7" s="12"/>
      <c r="Z7" s="12"/>
      <c r="AA7" s="13">
        <f t="shared" si="14"/>
        <v>-1</v>
      </c>
      <c r="AB7" t="str">
        <f t="shared" si="5"/>
        <v>far JJT</v>
      </c>
      <c r="AC7" s="12"/>
      <c r="AD7" s="12"/>
      <c r="AE7" s="13">
        <f t="shared" si="15"/>
        <v>-1</v>
      </c>
      <c r="AF7" t="str">
        <f t="shared" si="6"/>
        <v>very JJT</v>
      </c>
      <c r="AG7" s="12"/>
      <c r="AH7" s="12"/>
      <c r="AI7" s="13">
        <f t="shared" si="16"/>
        <v>-1</v>
      </c>
    </row>
    <row r="8" spans="1:35" x14ac:dyDescent="0.2">
      <c r="A8" s="10" t="s">
        <v>67</v>
      </c>
      <c r="B8" s="12">
        <v>966493</v>
      </c>
      <c r="C8" t="str">
        <f t="shared" si="0"/>
        <v>more much</v>
      </c>
      <c r="D8" s="12">
        <v>5</v>
      </c>
      <c r="E8" s="12">
        <v>13</v>
      </c>
      <c r="F8" s="13">
        <f t="shared" si="7"/>
        <v>-0.31850471025905114</v>
      </c>
      <c r="G8" t="str">
        <f t="shared" si="1"/>
        <v>less much</v>
      </c>
      <c r="H8" s="12">
        <v>0</v>
      </c>
      <c r="I8" s="12"/>
      <c r="J8" s="13">
        <f t="shared" si="8"/>
        <v>-1</v>
      </c>
      <c r="K8" t="str">
        <f t="shared" si="2"/>
        <v>how.[r*] much</v>
      </c>
      <c r="L8" s="12">
        <f>1*104643</f>
        <v>104643</v>
      </c>
      <c r="M8" s="12"/>
      <c r="N8" s="13">
        <f t="shared" si="9"/>
        <v>0.45559270506883709</v>
      </c>
      <c r="O8" t="str">
        <f t="shared" si="3"/>
        <v>amazingly much</v>
      </c>
      <c r="P8" s="12">
        <v>1</v>
      </c>
      <c r="Q8" s="12"/>
      <c r="R8" s="13">
        <f t="shared" si="10"/>
        <v>-7.4359526822794689E-2</v>
      </c>
      <c r="S8" t="str">
        <f t="shared" si="4"/>
        <v>remarkably much</v>
      </c>
      <c r="T8" s="12">
        <v>3</v>
      </c>
      <c r="U8" s="12"/>
      <c r="V8" s="13">
        <f t="shared" si="11"/>
        <v>-2.2548650699794545E-2</v>
      </c>
      <c r="W8" s="13">
        <f t="shared" si="12"/>
        <v>-4.8454088761294617E-2</v>
      </c>
      <c r="X8" t="str">
        <f t="shared" si="13"/>
        <v>slightly much</v>
      </c>
      <c r="Y8" s="12">
        <v>1</v>
      </c>
      <c r="Z8" s="12"/>
      <c r="AA8" s="13">
        <f t="shared" si="14"/>
        <v>-0.19193887338004026</v>
      </c>
      <c r="AB8" t="str">
        <f t="shared" si="5"/>
        <v>far much</v>
      </c>
      <c r="AC8" s="12">
        <v>28</v>
      </c>
      <c r="AD8" s="12">
        <v>4</v>
      </c>
      <c r="AE8" s="13">
        <f t="shared" si="15"/>
        <v>-0.13998252276375278</v>
      </c>
      <c r="AF8" t="str">
        <f t="shared" si="6"/>
        <v>very much</v>
      </c>
      <c r="AG8" s="12">
        <v>70441</v>
      </c>
      <c r="AH8" s="12"/>
      <c r="AI8" s="13">
        <f t="shared" si="16"/>
        <v>0.44487211304736524</v>
      </c>
    </row>
    <row r="9" spans="1:35" x14ac:dyDescent="0.2">
      <c r="A9" s="10" t="s">
        <v>297</v>
      </c>
      <c r="B9" s="12">
        <f>244071+97857</f>
        <v>341928</v>
      </c>
      <c r="C9" t="str">
        <f t="shared" si="0"/>
        <v>more little.[d*] + little.[r*]</v>
      </c>
      <c r="D9" s="12">
        <v>0</v>
      </c>
      <c r="E9" s="12">
        <v>37</v>
      </c>
      <c r="F9" s="13">
        <f t="shared" si="7"/>
        <v>-1</v>
      </c>
      <c r="G9" t="str">
        <f t="shared" si="1"/>
        <v>less little.[d*] + little.[r*]</v>
      </c>
      <c r="H9" s="12">
        <v>0</v>
      </c>
      <c r="I9" s="12"/>
      <c r="J9" s="13">
        <f t="shared" si="8"/>
        <v>-1</v>
      </c>
      <c r="K9" t="str">
        <f t="shared" si="2"/>
        <v>how.[r*] little.[d*] + little.[r*]</v>
      </c>
      <c r="L9" s="12">
        <f>0.97*2206+0.99*906</f>
        <v>3036.76</v>
      </c>
      <c r="M9" s="12">
        <f>2206+906-L9</f>
        <v>75.239999999999782</v>
      </c>
      <c r="N9" s="13">
        <f t="shared" si="9"/>
        <v>0.13189835678965106</v>
      </c>
      <c r="O9" t="str">
        <f t="shared" si="3"/>
        <v>amazingly little.[d*] + little.[r*]</v>
      </c>
      <c r="P9" s="12">
        <f>1+6</f>
        <v>7</v>
      </c>
      <c r="Q9" s="12"/>
      <c r="R9" s="13">
        <f t="shared" si="10"/>
        <v>7.687852262589237E-2</v>
      </c>
      <c r="S9" t="str">
        <f t="shared" si="4"/>
        <v>remarkably little.[d*] + little.[r*]</v>
      </c>
      <c r="T9" s="12">
        <f>17+68</f>
        <v>85</v>
      </c>
      <c r="U9" s="12">
        <v>1</v>
      </c>
      <c r="V9" s="13">
        <f t="shared" si="11"/>
        <v>0.24199577920805707</v>
      </c>
      <c r="W9" s="13">
        <f t="shared" si="12"/>
        <v>0.15943715091697472</v>
      </c>
      <c r="X9" t="str">
        <f t="shared" si="13"/>
        <v>slightly little.[d*] + little.[r*]</v>
      </c>
      <c r="Y9" s="12">
        <v>0</v>
      </c>
      <c r="Z9" s="12">
        <v>1</v>
      </c>
      <c r="AA9" s="13">
        <f t="shared" si="14"/>
        <v>-1</v>
      </c>
      <c r="AB9" t="str">
        <f t="shared" si="5"/>
        <v>far little.[d*] + little.[r*]</v>
      </c>
      <c r="AC9" s="12">
        <f>0+0</f>
        <v>0</v>
      </c>
      <c r="AD9" s="12">
        <f>3+5</f>
        <v>8</v>
      </c>
      <c r="AE9" s="13">
        <f t="shared" si="15"/>
        <v>-1</v>
      </c>
      <c r="AF9" t="str">
        <f t="shared" si="6"/>
        <v>very little.[d*] + little.[r*]</v>
      </c>
      <c r="AG9" s="12">
        <f>16136+570</f>
        <v>16706</v>
      </c>
      <c r="AH9" s="12"/>
      <c r="AI9" s="13">
        <f t="shared" si="16"/>
        <v>0.35033942656431016</v>
      </c>
    </row>
    <row r="10" spans="1:35" x14ac:dyDescent="0.2">
      <c r="A10" s="10" t="s">
        <v>83</v>
      </c>
      <c r="B10" s="12">
        <v>2287393</v>
      </c>
      <c r="C10" t="str">
        <f t="shared" si="0"/>
        <v>more more</v>
      </c>
      <c r="D10" s="12">
        <v>0</v>
      </c>
      <c r="E10" s="12">
        <v>391</v>
      </c>
      <c r="F10" s="13">
        <f t="shared" si="7"/>
        <v>-1</v>
      </c>
      <c r="G10" t="str">
        <f t="shared" si="1"/>
        <v>less more</v>
      </c>
      <c r="H10" s="12">
        <v>7</v>
      </c>
      <c r="I10" s="12"/>
      <c r="J10" s="13">
        <f t="shared" si="8"/>
        <v>-0.2505624096135366</v>
      </c>
      <c r="K10" t="str">
        <f t="shared" si="2"/>
        <v>how.[r*] more</v>
      </c>
      <c r="L10" s="12">
        <f>0.2*173</f>
        <v>34.6</v>
      </c>
      <c r="M10" s="12">
        <f>173-L10</f>
        <v>138.4</v>
      </c>
      <c r="N10" s="13">
        <f t="shared" si="9"/>
        <v>-0.27348777446261219</v>
      </c>
      <c r="O10" t="str">
        <f t="shared" si="3"/>
        <v>amazingly more</v>
      </c>
      <c r="P10" s="12">
        <v>1</v>
      </c>
      <c r="Q10" s="12">
        <v>1</v>
      </c>
      <c r="R10" s="13">
        <f t="shared" si="10"/>
        <v>-0.11592508072118489</v>
      </c>
      <c r="S10" t="str">
        <f t="shared" si="4"/>
        <v>remarkably more</v>
      </c>
      <c r="T10" s="12">
        <v>13</v>
      </c>
      <c r="U10" s="12"/>
      <c r="V10" s="13">
        <f t="shared" si="11"/>
        <v>8.9349030998087543E-3</v>
      </c>
      <c r="W10" s="13">
        <f t="shared" si="12"/>
        <v>-5.3495088810688068E-2</v>
      </c>
      <c r="X10" t="str">
        <f t="shared" si="13"/>
        <v>slightly more</v>
      </c>
      <c r="Y10" s="12">
        <v>3990</v>
      </c>
      <c r="Z10" s="12"/>
      <c r="AA10" s="13">
        <f t="shared" si="14"/>
        <v>0.27760418734376352</v>
      </c>
      <c r="AB10" t="str">
        <f t="shared" si="5"/>
        <v>far more</v>
      </c>
      <c r="AC10" s="12">
        <v>28955</v>
      </c>
      <c r="AD10" s="12"/>
      <c r="AE10" s="13">
        <f t="shared" si="15"/>
        <v>0.34871061447638779</v>
      </c>
      <c r="AF10" t="str">
        <f t="shared" si="6"/>
        <v>very more</v>
      </c>
      <c r="AG10" s="12">
        <v>12</v>
      </c>
      <c r="AH10" s="12"/>
      <c r="AI10" s="13">
        <f t="shared" si="16"/>
        <v>-0.28970226568193069</v>
      </c>
    </row>
    <row r="11" spans="1:35" x14ac:dyDescent="0.2">
      <c r="A11" s="10" t="s">
        <v>82</v>
      </c>
      <c r="B11" s="12">
        <v>339341</v>
      </c>
      <c r="C11" t="str">
        <f t="shared" si="0"/>
        <v>more less</v>
      </c>
      <c r="D11" s="12">
        <v>11</v>
      </c>
      <c r="E11" s="12">
        <v>89</v>
      </c>
      <c r="F11" s="13">
        <f t="shared" si="7"/>
        <v>-0.23208085636368822</v>
      </c>
      <c r="G11" t="str">
        <f t="shared" si="1"/>
        <v>less less</v>
      </c>
      <c r="H11" s="12">
        <v>0</v>
      </c>
      <c r="I11" s="12">
        <v>20</v>
      </c>
      <c r="J11" s="13">
        <f t="shared" si="8"/>
        <v>-1</v>
      </c>
      <c r="K11" t="str">
        <f t="shared" si="2"/>
        <v>how.[r*] less</v>
      </c>
      <c r="L11" s="12">
        <v>23</v>
      </c>
      <c r="M11" s="12">
        <v>7</v>
      </c>
      <c r="N11" s="13">
        <f t="shared" si="9"/>
        <v>-0.18187753187738798</v>
      </c>
      <c r="O11" t="str">
        <f t="shared" si="3"/>
        <v>amazingly less</v>
      </c>
      <c r="P11" s="12">
        <v>0</v>
      </c>
      <c r="Q11" s="12"/>
      <c r="R11" s="13">
        <f t="shared" si="10"/>
        <v>-1</v>
      </c>
      <c r="S11" t="str">
        <f t="shared" si="4"/>
        <v>remarkably less</v>
      </c>
      <c r="T11" s="12">
        <v>7</v>
      </c>
      <c r="U11" s="12"/>
      <c r="V11" s="13">
        <f t="shared" si="11"/>
        <v>7.7282920363100971E-2</v>
      </c>
      <c r="W11" s="13">
        <f t="shared" si="12"/>
        <v>-0.46135853981844954</v>
      </c>
      <c r="X11" t="str">
        <f t="shared" si="13"/>
        <v>slightly less</v>
      </c>
      <c r="Y11" s="12">
        <v>1973</v>
      </c>
      <c r="Z11" s="12"/>
      <c r="AA11" s="13">
        <f t="shared" si="14"/>
        <v>0.35435583214287852</v>
      </c>
      <c r="AB11" t="str">
        <f t="shared" si="5"/>
        <v>far less</v>
      </c>
      <c r="AC11" s="12">
        <v>6808</v>
      </c>
      <c r="AD11" s="12"/>
      <c r="AE11" s="13">
        <f t="shared" si="15"/>
        <v>0.34498877506101044</v>
      </c>
      <c r="AF11" t="str">
        <f t="shared" si="6"/>
        <v>very less</v>
      </c>
      <c r="AG11" s="12">
        <v>34</v>
      </c>
      <c r="AH11" s="12"/>
      <c r="AI11" s="13">
        <f t="shared" si="16"/>
        <v>-0.1357524379296377</v>
      </c>
    </row>
    <row r="12" spans="1:35" x14ac:dyDescent="0.2">
      <c r="A12" s="10" t="s">
        <v>295</v>
      </c>
      <c r="B12" s="12">
        <v>997290</v>
      </c>
      <c r="C12" t="str">
        <f t="shared" si="0"/>
        <v>more most</v>
      </c>
      <c r="D12" s="12">
        <v>4</v>
      </c>
      <c r="E12" s="12">
        <v>10</v>
      </c>
      <c r="F12" s="13">
        <f t="shared" si="7"/>
        <v>-0.32798972469602916</v>
      </c>
      <c r="G12" t="str">
        <f t="shared" si="1"/>
        <v>less most</v>
      </c>
      <c r="H12" s="12">
        <v>2</v>
      </c>
      <c r="I12" s="12">
        <v>3</v>
      </c>
      <c r="J12" s="13">
        <f t="shared" si="8"/>
        <v>-0.25599051412049034</v>
      </c>
      <c r="K12" t="str">
        <f t="shared" si="2"/>
        <v>how.[r*] most</v>
      </c>
      <c r="L12" s="12">
        <v>0</v>
      </c>
      <c r="M12" s="12">
        <v>705</v>
      </c>
      <c r="N12" s="13">
        <f t="shared" si="9"/>
        <v>-1</v>
      </c>
      <c r="O12" t="str">
        <f t="shared" si="3"/>
        <v>amazingly most</v>
      </c>
      <c r="P12" s="12">
        <v>0</v>
      </c>
      <c r="Q12" s="12">
        <v>1</v>
      </c>
      <c r="R12" s="13">
        <f t="shared" si="10"/>
        <v>-1</v>
      </c>
      <c r="S12" t="str">
        <f t="shared" si="4"/>
        <v>remarkably most</v>
      </c>
      <c r="T12" s="12">
        <v>0</v>
      </c>
      <c r="U12" s="12"/>
      <c r="V12" s="13">
        <f t="shared" si="11"/>
        <v>-1</v>
      </c>
      <c r="W12" s="13">
        <f t="shared" si="12"/>
        <v>-1</v>
      </c>
      <c r="X12" t="str">
        <f t="shared" si="13"/>
        <v>slightly most</v>
      </c>
      <c r="Y12" s="12">
        <v>0</v>
      </c>
      <c r="Z12" s="12"/>
      <c r="AA12" s="13">
        <f t="shared" si="14"/>
        <v>-1</v>
      </c>
      <c r="AB12" t="str">
        <f t="shared" si="5"/>
        <v>far most</v>
      </c>
      <c r="AC12" s="12">
        <v>0</v>
      </c>
      <c r="AD12" s="12">
        <v>68</v>
      </c>
      <c r="AE12" s="13">
        <f t="shared" si="15"/>
        <v>-1</v>
      </c>
      <c r="AF12" t="str">
        <f t="shared" si="6"/>
        <v>very most</v>
      </c>
      <c r="AG12" s="12">
        <v>5</v>
      </c>
      <c r="AH12" s="12">
        <v>159</v>
      </c>
      <c r="AI12" s="13">
        <f t="shared" si="16"/>
        <v>-0.2788069327009709</v>
      </c>
    </row>
    <row r="13" spans="1:35" x14ac:dyDescent="0.2">
      <c r="A13" s="10" t="s">
        <v>296</v>
      </c>
      <c r="B13" s="12">
        <v>322152</v>
      </c>
      <c r="C13" t="str">
        <f t="shared" si="0"/>
        <v>more least</v>
      </c>
      <c r="D13" s="12">
        <v>0</v>
      </c>
      <c r="E13" s="12"/>
      <c r="F13" s="13">
        <f t="shared" si="7"/>
        <v>-1</v>
      </c>
      <c r="G13" t="str">
        <f t="shared" si="1"/>
        <v>less least</v>
      </c>
      <c r="H13" s="12">
        <v>0</v>
      </c>
      <c r="I13" s="12"/>
      <c r="J13" s="13">
        <f t="shared" si="8"/>
        <v>-1</v>
      </c>
      <c r="K13" t="str">
        <f t="shared" si="2"/>
        <v>how.[r*] least</v>
      </c>
      <c r="L13" s="12">
        <v>0</v>
      </c>
      <c r="M13" s="12"/>
      <c r="N13" s="13">
        <f t="shared" si="9"/>
        <v>-1</v>
      </c>
      <c r="O13" t="str">
        <f t="shared" si="3"/>
        <v>amazingly least</v>
      </c>
      <c r="P13" s="12">
        <v>0</v>
      </c>
      <c r="Q13" s="12"/>
      <c r="R13" s="13">
        <f t="shared" si="10"/>
        <v>-1</v>
      </c>
      <c r="S13" t="str">
        <f t="shared" si="4"/>
        <v>remarkably least</v>
      </c>
      <c r="T13" s="12">
        <v>0</v>
      </c>
      <c r="U13" s="12"/>
      <c r="V13" s="13">
        <f t="shared" si="11"/>
        <v>-1</v>
      </c>
      <c r="W13" s="13">
        <f t="shared" si="12"/>
        <v>-1</v>
      </c>
      <c r="X13" t="str">
        <f t="shared" si="13"/>
        <v>slightly least</v>
      </c>
      <c r="Y13" s="12">
        <v>0</v>
      </c>
      <c r="Z13" s="12"/>
      <c r="AA13" s="13">
        <f t="shared" si="14"/>
        <v>-1</v>
      </c>
      <c r="AB13" t="str">
        <f t="shared" si="5"/>
        <v>far least</v>
      </c>
      <c r="AC13" s="12">
        <v>0</v>
      </c>
      <c r="AD13" s="12">
        <v>1</v>
      </c>
      <c r="AE13" s="13">
        <f t="shared" si="15"/>
        <v>-1</v>
      </c>
      <c r="AF13" t="str">
        <f t="shared" si="6"/>
        <v>very least</v>
      </c>
      <c r="AG13" s="12">
        <v>2</v>
      </c>
      <c r="AH13" s="12">
        <v>5970</v>
      </c>
      <c r="AI13" s="13">
        <f t="shared" si="16"/>
        <v>-0.25538580288539492</v>
      </c>
    </row>
    <row r="14" spans="1:35" x14ac:dyDescent="0.2">
      <c r="C14" t="s">
        <v>83</v>
      </c>
      <c r="D14" s="12">
        <v>2287393</v>
      </c>
      <c r="E14" s="12"/>
      <c r="G14" t="s">
        <v>82</v>
      </c>
      <c r="H14" s="12">
        <v>339341</v>
      </c>
      <c r="I14" s="12"/>
      <c r="K14" s="11" t="str">
        <f>K1</f>
        <v>how.[r*]</v>
      </c>
      <c r="L14" s="12">
        <v>1666490</v>
      </c>
      <c r="M14" s="12"/>
      <c r="O14" s="11" t="str">
        <f>O1</f>
        <v>amazingly</v>
      </c>
      <c r="P14" s="12">
        <v>4846</v>
      </c>
      <c r="Q14" s="12"/>
      <c r="S14" s="11" t="str">
        <f>S1</f>
        <v>remarkably</v>
      </c>
      <c r="T14" s="12">
        <v>4846</v>
      </c>
      <c r="U14" s="12"/>
      <c r="X14" s="11" t="str">
        <f>X1</f>
        <v>slightly</v>
      </c>
      <c r="Y14" s="2">
        <v>55430</v>
      </c>
      <c r="Z14" s="12"/>
      <c r="AB14" s="11" t="str">
        <f>AB1</f>
        <v>far</v>
      </c>
      <c r="AC14" s="2">
        <v>331630</v>
      </c>
      <c r="AD14" s="12"/>
      <c r="AF14" s="11" t="str">
        <f>AF1</f>
        <v>very</v>
      </c>
      <c r="AG14" s="12">
        <v>1037853</v>
      </c>
      <c r="AH14" s="12"/>
    </row>
    <row r="15" spans="1:35" x14ac:dyDescent="0.2">
      <c r="F15" s="8">
        <f>-3.5*F20+F19</f>
        <v>-6.4688926321050007</v>
      </c>
      <c r="J15" s="8">
        <f>-3.5*J20+J19</f>
        <v>-4.0885023568460639</v>
      </c>
      <c r="N15" s="8">
        <f>-3.5*N20+N19</f>
        <v>-4.7622297737293424</v>
      </c>
      <c r="R15" s="8">
        <f>-3.5*R20+R19</f>
        <v>-1.6884843648655783</v>
      </c>
      <c r="S15" s="8"/>
      <c r="T15" s="8"/>
      <c r="U15" s="8"/>
      <c r="V15" s="8"/>
      <c r="W15" s="8"/>
      <c r="AA15" s="8">
        <f>-3.5*AA20+AA19</f>
        <v>-5.3327999213395083</v>
      </c>
      <c r="AE15" s="8">
        <f>-3.5*AE20+AE19</f>
        <v>-3.723038423732127</v>
      </c>
      <c r="AI15" s="8">
        <f>-3.5*AI20+AI19</f>
        <v>-4.812763174035271</v>
      </c>
    </row>
    <row r="16" spans="1:35" x14ac:dyDescent="0.2">
      <c r="D16" s="2"/>
    </row>
    <row r="17" spans="5:35" x14ac:dyDescent="0.2">
      <c r="E17" t="s">
        <v>78</v>
      </c>
      <c r="F17" s="1">
        <f>AVERAGE(F2:F13)</f>
        <v>-0.45207668216329577</v>
      </c>
      <c r="I17" t="s">
        <v>78</v>
      </c>
      <c r="J17" s="1">
        <f>AVERAGE(J2:J13)</f>
        <v>-0.52165564991298741</v>
      </c>
      <c r="M17" t="s">
        <v>78</v>
      </c>
      <c r="N17" s="1">
        <f>AVERAGE(N2:N13)</f>
        <v>-0.35330766168887456</v>
      </c>
      <c r="Q17" t="s">
        <v>78</v>
      </c>
      <c r="R17" s="1">
        <f>AVERAGE(R2:R13)</f>
        <v>-0.50918375839458552</v>
      </c>
      <c r="S17" s="1"/>
      <c r="T17" s="1"/>
      <c r="U17" s="1"/>
      <c r="V17" s="1"/>
      <c r="W17" s="1"/>
      <c r="Z17" t="s">
        <v>78</v>
      </c>
      <c r="AA17" s="1">
        <f>AVERAGE(AA2:AA13)</f>
        <v>-0.41759327488559483</v>
      </c>
      <c r="AD17" t="s">
        <v>78</v>
      </c>
      <c r="AE17" s="1">
        <f>AVERAGE(AE2:AE13)</f>
        <v>-0.49695434888445017</v>
      </c>
      <c r="AH17" t="s">
        <v>78</v>
      </c>
      <c r="AI17" s="1">
        <f>AVERAGE(AI2:AI13)</f>
        <v>-0.18720034925522397</v>
      </c>
    </row>
    <row r="18" spans="5:35" x14ac:dyDescent="0.2">
      <c r="E18" t="s">
        <v>80</v>
      </c>
      <c r="F18" s="1">
        <f>_xlfn.STDEV.S(F2:F13)</f>
        <v>0.42994803651171393</v>
      </c>
      <c r="I18" t="s">
        <v>80</v>
      </c>
      <c r="J18" s="1">
        <f>_xlfn.STDEV.S(J2:J13)</f>
        <v>0.42480896229673548</v>
      </c>
      <c r="M18" t="s">
        <v>80</v>
      </c>
      <c r="N18" s="1">
        <f>_xlfn.STDEV.S(N2:N13)</f>
        <v>0.5185473482157511</v>
      </c>
      <c r="Q18" t="s">
        <v>80</v>
      </c>
      <c r="R18" s="1">
        <f>_xlfn.STDEV.S(R2:R13)</f>
        <v>0.5147594732196239</v>
      </c>
      <c r="S18" s="1"/>
      <c r="T18" s="1"/>
      <c r="U18" s="1"/>
      <c r="V18" s="1"/>
      <c r="W18" s="1"/>
      <c r="Z18" t="s">
        <v>80</v>
      </c>
      <c r="AA18" s="1">
        <f>_xlfn.STDEV.S(AA2:AA13)</f>
        <v>0.62967942633653951</v>
      </c>
      <c r="AD18" t="s">
        <v>80</v>
      </c>
      <c r="AE18" s="1">
        <f>_xlfn.STDEV.S(AE2:AE13)</f>
        <v>0.63361678815224443</v>
      </c>
      <c r="AH18" t="s">
        <v>80</v>
      </c>
      <c r="AI18" s="1">
        <f>_xlfn.STDEV.S(AI2:AI13)</f>
        <v>0.45281045681209908</v>
      </c>
    </row>
    <row r="19" spans="5:35" x14ac:dyDescent="0.2">
      <c r="F19" s="1">
        <v>-1.4362983398055018</v>
      </c>
      <c r="J19" s="21">
        <v>-1.2591327700077333</v>
      </c>
      <c r="K19" s="21"/>
      <c r="L19" s="21"/>
      <c r="M19" s="21"/>
      <c r="N19" s="21">
        <v>-0.79166072027903645</v>
      </c>
      <c r="O19" s="21"/>
      <c r="P19" s="21"/>
      <c r="Q19" s="21"/>
      <c r="R19" s="21">
        <v>-8.3111166574588363E-2</v>
      </c>
      <c r="S19" s="21"/>
      <c r="T19" s="21"/>
      <c r="U19" s="21"/>
      <c r="V19" s="21"/>
      <c r="W19" s="21"/>
      <c r="X19" s="21"/>
      <c r="Y19" s="21"/>
      <c r="Z19" s="21"/>
      <c r="AA19" s="21">
        <v>0.57271303369736781</v>
      </c>
      <c r="AB19" s="21"/>
      <c r="AC19" s="21"/>
      <c r="AD19" s="21"/>
      <c r="AE19" s="21">
        <v>0.90344144648286706</v>
      </c>
      <c r="AF19" s="21"/>
      <c r="AG19" s="21"/>
      <c r="AH19" s="21"/>
      <c r="AI19" s="21">
        <v>6.362660375198867E-2</v>
      </c>
    </row>
    <row r="20" spans="5:35" x14ac:dyDescent="0.2">
      <c r="F20" s="1">
        <v>1.4378840835141424</v>
      </c>
      <c r="J20" s="21">
        <v>0.80839131052523727</v>
      </c>
      <c r="K20" s="21"/>
      <c r="L20" s="21"/>
      <c r="M20" s="21"/>
      <c r="N20" s="21">
        <v>1.1344483009858017</v>
      </c>
      <c r="O20" s="21"/>
      <c r="P20" s="21"/>
      <c r="Q20" s="21"/>
      <c r="R20" s="21">
        <v>0.45867805665456857</v>
      </c>
      <c r="S20" s="21"/>
      <c r="T20" s="21"/>
      <c r="U20" s="21"/>
      <c r="V20" s="21"/>
      <c r="W20" s="21"/>
      <c r="X20" s="21"/>
      <c r="Y20" s="21"/>
      <c r="Z20" s="21"/>
      <c r="AA20" s="21">
        <v>1.6872894157248217</v>
      </c>
      <c r="AB20" s="21"/>
      <c r="AC20" s="21"/>
      <c r="AD20" s="21"/>
      <c r="AE20" s="21">
        <v>1.3218513914899983</v>
      </c>
      <c r="AF20" s="21"/>
      <c r="AG20" s="21"/>
      <c r="AH20" s="21"/>
      <c r="AI20" s="21">
        <v>1.3932542222249316</v>
      </c>
    </row>
  </sheetData>
  <pageMargins left="0.7" right="0.7" top="0.75" bottom="0.75" header="0.3" footer="0.3"/>
  <pageSetup orientation="portrait" horizontalDpi="0" verticalDpi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0A37F-687C-7440-A0D0-D1BF73D8D652}">
  <dimension ref="B1:K10"/>
  <sheetViews>
    <sheetView tabSelected="1" zoomScale="170" zoomScaleNormal="170" workbookViewId="0">
      <selection activeCell="K6" sqref="K6"/>
    </sheetView>
  </sheetViews>
  <sheetFormatPr baseColWidth="10" defaultRowHeight="16" x14ac:dyDescent="0.2"/>
  <cols>
    <col min="2" max="2" width="19.33203125" bestFit="1" customWidth="1"/>
    <col min="3" max="3" width="6" bestFit="1" customWidth="1"/>
    <col min="4" max="4" width="5.33203125" bestFit="1" customWidth="1"/>
    <col min="5" max="5" width="8.83203125" bestFit="1" customWidth="1"/>
    <col min="6" max="6" width="10.1640625" customWidth="1"/>
    <col min="7" max="7" width="7.6640625" bestFit="1" customWidth="1"/>
    <col min="8" max="9" width="5.33203125" bestFit="1" customWidth="1"/>
  </cols>
  <sheetData>
    <row r="1" spans="2:11" ht="33" customHeight="1" x14ac:dyDescent="0.2">
      <c r="B1" t="s">
        <v>332</v>
      </c>
      <c r="C1" s="29" t="str">
        <f>'AdvP modifiers'!C1</f>
        <v>more</v>
      </c>
      <c r="D1" s="29" t="str">
        <f>'AdvP modifiers'!G1</f>
        <v>less</v>
      </c>
      <c r="E1" s="29" t="s">
        <v>334</v>
      </c>
      <c r="F1" s="30" t="s">
        <v>320</v>
      </c>
      <c r="G1" s="29" t="str">
        <f>'AdvP modifiers'!X1</f>
        <v>slightly</v>
      </c>
      <c r="H1" s="29" t="str">
        <f>'AdvP modifiers'!AB1</f>
        <v>far</v>
      </c>
      <c r="I1" s="29" t="str">
        <f>'AdvP modifiers'!AF1</f>
        <v>very</v>
      </c>
    </row>
    <row r="2" spans="2:11" x14ac:dyDescent="0.2">
      <c r="B2" s="10" t="s">
        <v>99</v>
      </c>
      <c r="C2" s="21">
        <f>'AdvP modifiers'!F2</f>
        <v>0.21796750996735068</v>
      </c>
      <c r="D2" s="21">
        <f>'AdvP modifiers'!J2</f>
        <v>-0.12181244488977183</v>
      </c>
      <c r="E2" s="21">
        <f>'AdvP modifiers'!N2</f>
        <v>-0.10547683550305922</v>
      </c>
      <c r="F2" s="21">
        <f>'AdvP modifiers'!W2</f>
        <v>-0.49250318234990753</v>
      </c>
      <c r="G2" s="21">
        <f>'AdvP modifiers'!AA2</f>
        <v>-1</v>
      </c>
      <c r="H2" s="21">
        <f>'AdvP modifiers'!AE2</f>
        <v>-1</v>
      </c>
      <c r="I2" s="21">
        <f>'AdvP modifiers'!AI2</f>
        <v>7.3511496370223792E-2</v>
      </c>
    </row>
    <row r="3" spans="2:11" x14ac:dyDescent="0.2">
      <c r="B3" s="10" t="s">
        <v>10</v>
      </c>
      <c r="C3" s="21">
        <f>'AdvP modifiers'!F3</f>
        <v>-0.20834076284098313</v>
      </c>
      <c r="D3" s="21">
        <f>'AdvP modifiers'!J3</f>
        <v>-0.12806765909193596</v>
      </c>
      <c r="E3" s="21">
        <f>'AdvP modifiers'!N3</f>
        <v>0.15267178664763487</v>
      </c>
      <c r="F3" s="21">
        <f>'AdvP modifiers'!W3</f>
        <v>-1.2833459995411151E-2</v>
      </c>
      <c r="G3" s="21">
        <f>'AdvP modifiers'!AA3</f>
        <v>-8.63399986765961E-2</v>
      </c>
      <c r="H3" s="21">
        <f>'AdvP modifiers'!AE3</f>
        <v>-1</v>
      </c>
      <c r="I3" s="21">
        <f>'AdvP modifiers'!AI3</f>
        <v>0.19783789465461979</v>
      </c>
    </row>
    <row r="4" spans="2:11" x14ac:dyDescent="0.2">
      <c r="B4" t="s">
        <v>324</v>
      </c>
      <c r="C4" s="21">
        <f>'AdvP modifiers'!F5</f>
        <v>-0.10985336734585313</v>
      </c>
      <c r="D4" s="21">
        <f>'AdvP modifiers'!J5</f>
        <v>-0.12842869701124515</v>
      </c>
      <c r="E4" s="21">
        <f>'AdvP modifiers'!N5</f>
        <v>-0.2277243945308095</v>
      </c>
      <c r="F4" s="21">
        <f>'AdvP modifiers'!W5</f>
        <v>2.4540075735342261E-2</v>
      </c>
      <c r="G4" s="21">
        <f>'AdvP modifiers'!AA5</f>
        <v>0.36956704776670696</v>
      </c>
      <c r="H4" s="21">
        <f>'AdvP modifiers'!AE4</f>
        <v>0.20293327440515921</v>
      </c>
      <c r="I4" s="21">
        <f>'AdvP modifiers'!AI4</f>
        <v>-0.13781724036785895</v>
      </c>
    </row>
    <row r="5" spans="2:11" x14ac:dyDescent="0.2">
      <c r="B5" s="10" t="s">
        <v>67</v>
      </c>
      <c r="C5" s="21">
        <f>'AdvP modifiers'!F8</f>
        <v>-0.31850471025905114</v>
      </c>
      <c r="D5" s="21">
        <f>'AdvP modifiers'!J8</f>
        <v>-1</v>
      </c>
      <c r="E5" s="21">
        <f>'AdvP modifiers'!N8</f>
        <v>0.45559270506883709</v>
      </c>
      <c r="F5" s="21">
        <f>'AdvP modifiers'!W8</f>
        <v>-4.8454088761294617E-2</v>
      </c>
      <c r="G5" s="21">
        <f>'AdvP modifiers'!AA8</f>
        <v>-0.19193887338004026</v>
      </c>
      <c r="H5" s="21">
        <f>'AdvP modifiers'!AE8</f>
        <v>-0.13998252276375278</v>
      </c>
      <c r="I5" s="21">
        <f>'AdvP modifiers'!AI8</f>
        <v>0.44487211304736524</v>
      </c>
      <c r="K5" s="21">
        <f>MAX(C2:I10)</f>
        <v>0.45559270506883709</v>
      </c>
    </row>
    <row r="6" spans="2:11" x14ac:dyDescent="0.2">
      <c r="B6" s="10" t="s">
        <v>333</v>
      </c>
      <c r="C6" s="21">
        <f>'AdvP modifiers'!F9</f>
        <v>-1</v>
      </c>
      <c r="D6" s="21">
        <f>'AdvP modifiers'!J9</f>
        <v>-1</v>
      </c>
      <c r="E6" s="21">
        <f>'AdvP modifiers'!N9</f>
        <v>0.13189835678965106</v>
      </c>
      <c r="F6" s="21">
        <f>'AdvP modifiers'!W9</f>
        <v>0.15943715091697472</v>
      </c>
      <c r="G6" s="21">
        <f>'AdvP modifiers'!AA9</f>
        <v>-1</v>
      </c>
      <c r="H6" s="21">
        <f>'AdvP modifiers'!AE9</f>
        <v>-1</v>
      </c>
      <c r="I6" s="21">
        <f>'AdvP modifiers'!AI9</f>
        <v>0.35033942656431016</v>
      </c>
    </row>
    <row r="7" spans="2:11" x14ac:dyDescent="0.2">
      <c r="B7" s="10" t="s">
        <v>83</v>
      </c>
      <c r="C7" s="21">
        <f>'AdvP modifiers'!F10</f>
        <v>-1</v>
      </c>
      <c r="D7" s="21">
        <f>'AdvP modifiers'!J10</f>
        <v>-0.2505624096135366</v>
      </c>
      <c r="E7" s="21">
        <f>'AdvP modifiers'!N10</f>
        <v>-0.27348777446261219</v>
      </c>
      <c r="F7" s="21">
        <f>'AdvP modifiers'!W10</f>
        <v>-5.3495088810688068E-2</v>
      </c>
      <c r="G7" s="21">
        <f>'AdvP modifiers'!AA10</f>
        <v>0.27760418734376352</v>
      </c>
      <c r="H7" s="21">
        <f>'AdvP modifiers'!AE10</f>
        <v>0.34871061447638779</v>
      </c>
      <c r="I7" s="21">
        <f>'AdvP modifiers'!AI10</f>
        <v>-0.28970226568193069</v>
      </c>
    </row>
    <row r="8" spans="2:11" x14ac:dyDescent="0.2">
      <c r="B8" s="10" t="s">
        <v>82</v>
      </c>
      <c r="C8" s="21">
        <f>'AdvP modifiers'!F11</f>
        <v>-0.23208085636368822</v>
      </c>
      <c r="D8" s="21">
        <f>'AdvP modifiers'!J11</f>
        <v>-1</v>
      </c>
      <c r="E8" s="21">
        <f>'AdvP modifiers'!N11</f>
        <v>-0.18187753187738798</v>
      </c>
      <c r="F8" s="21">
        <f>'AdvP modifiers'!W11</f>
        <v>-0.46135853981844954</v>
      </c>
      <c r="G8" s="21">
        <f>'AdvP modifiers'!AA11</f>
        <v>0.35435583214287852</v>
      </c>
      <c r="H8" s="21">
        <f>'AdvP modifiers'!AE11</f>
        <v>0.34498877506101044</v>
      </c>
      <c r="I8" s="21">
        <f>'AdvP modifiers'!AI11</f>
        <v>-0.1357524379296377</v>
      </c>
    </row>
    <row r="9" spans="2:11" x14ac:dyDescent="0.2">
      <c r="B9" s="10" t="s">
        <v>295</v>
      </c>
      <c r="C9" s="21">
        <f>'AdvP modifiers'!F12</f>
        <v>-0.32798972469602916</v>
      </c>
      <c r="D9" s="21">
        <f>'AdvP modifiers'!J12</f>
        <v>-0.25599051412049034</v>
      </c>
      <c r="E9" s="21">
        <f>'AdvP modifiers'!N12</f>
        <v>-1</v>
      </c>
      <c r="F9" s="21">
        <f>'AdvP modifiers'!W12</f>
        <v>-1</v>
      </c>
      <c r="G9" s="21">
        <f>'AdvP modifiers'!AA12</f>
        <v>-1</v>
      </c>
      <c r="H9" s="21">
        <f>'AdvP modifiers'!AE12</f>
        <v>-1</v>
      </c>
      <c r="I9" s="21">
        <f>'AdvP modifiers'!AI12</f>
        <v>-0.2788069327009709</v>
      </c>
    </row>
    <row r="10" spans="2:11" x14ac:dyDescent="0.2">
      <c r="B10" s="10" t="s">
        <v>296</v>
      </c>
      <c r="C10" s="21">
        <f>'AdvP modifiers'!F13</f>
        <v>-1</v>
      </c>
      <c r="D10" s="21">
        <f>'AdvP modifiers'!J13</f>
        <v>-1</v>
      </c>
      <c r="E10" s="21">
        <f>'AdvP modifiers'!N13</f>
        <v>-1</v>
      </c>
      <c r="F10" s="21">
        <f>'AdvP modifiers'!W13</f>
        <v>-1</v>
      </c>
      <c r="G10" s="21">
        <f>'AdvP modifiers'!AA13</f>
        <v>-1</v>
      </c>
      <c r="H10" s="21">
        <f>'AdvP modifiers'!AE13</f>
        <v>-1</v>
      </c>
      <c r="I10" s="21">
        <f>'AdvP modifiers'!AI13</f>
        <v>-0.25538580288539492</v>
      </c>
    </row>
  </sheetData>
  <conditionalFormatting sqref="C2:I10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76">
      <colorScale>
        <cfvo type="min"/>
        <cfvo type="max"/>
        <color theme="0"/>
        <color theme="1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8364-179F-4B44-8F3E-11AF170C497D}">
  <dimension ref="A3:C17"/>
  <sheetViews>
    <sheetView zoomScale="140" zoomScaleNormal="140" workbookViewId="0">
      <selection activeCell="B19" sqref="B19"/>
    </sheetView>
  </sheetViews>
  <sheetFormatPr baseColWidth="10" defaultRowHeight="16" x14ac:dyDescent="0.2"/>
  <cols>
    <col min="1" max="1" width="7" bestFit="1" customWidth="1"/>
    <col min="2" max="2" width="85.33203125" bestFit="1" customWidth="1"/>
    <col min="4" max="4" width="64.83203125" bestFit="1" customWidth="1"/>
    <col min="5" max="5" width="63.33203125" bestFit="1" customWidth="1"/>
    <col min="6" max="6" width="71" bestFit="1" customWidth="1"/>
  </cols>
  <sheetData>
    <row r="3" spans="1:3" x14ac:dyDescent="0.2">
      <c r="A3" s="6" t="s">
        <v>0</v>
      </c>
      <c r="B3" s="6" t="s">
        <v>64</v>
      </c>
    </row>
    <row r="4" spans="1:3" x14ac:dyDescent="0.2">
      <c r="A4" s="2">
        <v>8</v>
      </c>
      <c r="B4" s="3" t="s">
        <v>16</v>
      </c>
      <c r="C4" s="5"/>
    </row>
    <row r="5" spans="1:3" x14ac:dyDescent="0.2">
      <c r="A5" s="2">
        <v>2</v>
      </c>
      <c r="B5" s="3" t="s">
        <v>65</v>
      </c>
      <c r="C5" s="5"/>
    </row>
    <row r="6" spans="1:3" x14ac:dyDescent="0.2">
      <c r="A6" s="2">
        <v>2646</v>
      </c>
      <c r="B6" s="3" t="s">
        <v>31</v>
      </c>
      <c r="C6" s="5"/>
    </row>
    <row r="7" spans="1:3" x14ac:dyDescent="0.2">
      <c r="A7" s="2">
        <v>579</v>
      </c>
      <c r="B7" s="3" t="s">
        <v>66</v>
      </c>
      <c r="C7" s="5"/>
    </row>
    <row r="8" spans="1:3" x14ac:dyDescent="0.2">
      <c r="A8" s="2">
        <v>12</v>
      </c>
      <c r="B8" s="3" t="s">
        <v>46</v>
      </c>
      <c r="C8" s="5"/>
    </row>
    <row r="9" spans="1:3" x14ac:dyDescent="0.2">
      <c r="A9" s="2">
        <v>66</v>
      </c>
      <c r="B9" s="3" t="s">
        <v>55</v>
      </c>
      <c r="C9" s="5"/>
    </row>
    <row r="10" spans="1:3" x14ac:dyDescent="0.2">
      <c r="A10" s="2">
        <v>232</v>
      </c>
      <c r="B10" s="3" t="s">
        <v>63</v>
      </c>
      <c r="C10" s="5"/>
    </row>
    <row r="14" spans="1:3" x14ac:dyDescent="0.2">
      <c r="B14" t="s">
        <v>340</v>
      </c>
    </row>
    <row r="16" spans="1:3" x14ac:dyDescent="0.2">
      <c r="B16" s="38" t="s">
        <v>341</v>
      </c>
    </row>
    <row r="17" spans="2:2" x14ac:dyDescent="0.2">
      <c r="B17" s="5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C5CA8-1528-034A-9C18-B98436EB9679}">
  <dimension ref="A1:E110"/>
  <sheetViews>
    <sheetView workbookViewId="0">
      <selection sqref="A1:E1"/>
    </sheetView>
  </sheetViews>
  <sheetFormatPr baseColWidth="10" defaultRowHeight="16" x14ac:dyDescent="0.2"/>
  <cols>
    <col min="1" max="1" width="23" bestFit="1" customWidth="1"/>
    <col min="2" max="2" width="8.1640625" bestFit="1" customWidth="1"/>
    <col min="3" max="3" width="12.6640625" bestFit="1" customWidth="1"/>
  </cols>
  <sheetData>
    <row r="1" spans="1:5" x14ac:dyDescent="0.2">
      <c r="A1" s="5" t="s">
        <v>344</v>
      </c>
      <c r="B1" s="5" t="s">
        <v>6</v>
      </c>
      <c r="C1" s="5" t="s">
        <v>347</v>
      </c>
      <c r="D1" s="5" t="s">
        <v>348</v>
      </c>
      <c r="E1" s="5"/>
    </row>
    <row r="2" spans="1:5" x14ac:dyDescent="0.2">
      <c r="A2" t="s">
        <v>187</v>
      </c>
      <c r="B2">
        <v>6</v>
      </c>
      <c r="D2">
        <f>IF(C2="omit",0,B2)</f>
        <v>6</v>
      </c>
    </row>
    <row r="3" spans="1:5" x14ac:dyDescent="0.2">
      <c r="A3" t="s">
        <v>184</v>
      </c>
      <c r="B3">
        <v>7</v>
      </c>
      <c r="D3">
        <f t="shared" ref="D3:D66" si="0">IF(C3="omit",0,B3)</f>
        <v>7</v>
      </c>
    </row>
    <row r="4" spans="1:5" x14ac:dyDescent="0.2">
      <c r="A4" t="s">
        <v>193</v>
      </c>
      <c r="B4">
        <v>4</v>
      </c>
      <c r="D4">
        <f t="shared" si="0"/>
        <v>4</v>
      </c>
    </row>
    <row r="5" spans="1:5" x14ac:dyDescent="0.2">
      <c r="A5" t="s">
        <v>183</v>
      </c>
      <c r="B5">
        <v>7</v>
      </c>
      <c r="D5">
        <f t="shared" si="0"/>
        <v>7</v>
      </c>
    </row>
    <row r="6" spans="1:5" x14ac:dyDescent="0.2">
      <c r="A6" t="s">
        <v>153</v>
      </c>
      <c r="B6">
        <v>156</v>
      </c>
      <c r="D6">
        <f t="shared" si="0"/>
        <v>156</v>
      </c>
    </row>
    <row r="7" spans="1:5" x14ac:dyDescent="0.2">
      <c r="A7" t="s">
        <v>188</v>
      </c>
      <c r="B7">
        <v>6</v>
      </c>
      <c r="D7">
        <f t="shared" si="0"/>
        <v>6</v>
      </c>
    </row>
    <row r="8" spans="1:5" x14ac:dyDescent="0.2">
      <c r="A8" t="s">
        <v>180</v>
      </c>
      <c r="B8">
        <v>10</v>
      </c>
      <c r="D8">
        <f t="shared" si="0"/>
        <v>10</v>
      </c>
    </row>
    <row r="9" spans="1:5" x14ac:dyDescent="0.2">
      <c r="A9" t="s">
        <v>197</v>
      </c>
      <c r="B9">
        <v>2</v>
      </c>
      <c r="D9">
        <f t="shared" si="0"/>
        <v>2</v>
      </c>
    </row>
    <row r="10" spans="1:5" x14ac:dyDescent="0.2">
      <c r="A10" t="s">
        <v>108</v>
      </c>
      <c r="B10">
        <v>18953</v>
      </c>
      <c r="D10">
        <f t="shared" si="0"/>
        <v>18953</v>
      </c>
    </row>
    <row r="11" spans="1:5" x14ac:dyDescent="0.2">
      <c r="A11" t="s">
        <v>152</v>
      </c>
      <c r="B11">
        <v>183</v>
      </c>
      <c r="D11">
        <f t="shared" si="0"/>
        <v>183</v>
      </c>
    </row>
    <row r="12" spans="1:5" x14ac:dyDescent="0.2">
      <c r="A12" t="s">
        <v>164</v>
      </c>
      <c r="B12">
        <v>43</v>
      </c>
      <c r="D12">
        <f t="shared" si="0"/>
        <v>43</v>
      </c>
    </row>
    <row r="13" spans="1:5" x14ac:dyDescent="0.2">
      <c r="A13" t="s">
        <v>124</v>
      </c>
      <c r="B13">
        <v>1603</v>
      </c>
      <c r="C13" t="s">
        <v>207</v>
      </c>
      <c r="D13">
        <f t="shared" si="0"/>
        <v>0</v>
      </c>
    </row>
    <row r="14" spans="1:5" x14ac:dyDescent="0.2">
      <c r="A14" t="s">
        <v>195</v>
      </c>
      <c r="B14">
        <v>3</v>
      </c>
      <c r="D14">
        <f t="shared" si="0"/>
        <v>3</v>
      </c>
    </row>
    <row r="15" spans="1:5" x14ac:dyDescent="0.2">
      <c r="A15" t="s">
        <v>148</v>
      </c>
      <c r="B15">
        <v>263</v>
      </c>
      <c r="D15">
        <f t="shared" si="0"/>
        <v>263</v>
      </c>
    </row>
    <row r="16" spans="1:5" x14ac:dyDescent="0.2">
      <c r="A16" t="s">
        <v>179</v>
      </c>
      <c r="B16">
        <v>10</v>
      </c>
      <c r="D16">
        <f t="shared" si="0"/>
        <v>10</v>
      </c>
    </row>
    <row r="17" spans="1:4" x14ac:dyDescent="0.2">
      <c r="A17" t="s">
        <v>155</v>
      </c>
      <c r="B17">
        <v>138</v>
      </c>
      <c r="D17">
        <f t="shared" si="0"/>
        <v>138</v>
      </c>
    </row>
    <row r="18" spans="1:4" x14ac:dyDescent="0.2">
      <c r="A18" t="s">
        <v>116</v>
      </c>
      <c r="B18">
        <v>3847</v>
      </c>
      <c r="D18">
        <f t="shared" si="0"/>
        <v>3847</v>
      </c>
    </row>
    <row r="19" spans="1:4" x14ac:dyDescent="0.2">
      <c r="A19" t="s">
        <v>170</v>
      </c>
      <c r="B19">
        <v>19</v>
      </c>
      <c r="D19">
        <f t="shared" si="0"/>
        <v>19</v>
      </c>
    </row>
    <row r="20" spans="1:4" x14ac:dyDescent="0.2">
      <c r="A20" t="s">
        <v>140</v>
      </c>
      <c r="B20">
        <v>476</v>
      </c>
      <c r="D20">
        <f t="shared" si="0"/>
        <v>476</v>
      </c>
    </row>
    <row r="21" spans="1:4" x14ac:dyDescent="0.2">
      <c r="A21" t="s">
        <v>175</v>
      </c>
      <c r="B21">
        <v>12</v>
      </c>
      <c r="D21">
        <f t="shared" si="0"/>
        <v>12</v>
      </c>
    </row>
    <row r="22" spans="1:4" x14ac:dyDescent="0.2">
      <c r="A22" t="s">
        <v>134</v>
      </c>
      <c r="B22">
        <v>605</v>
      </c>
      <c r="D22">
        <f t="shared" si="0"/>
        <v>605</v>
      </c>
    </row>
    <row r="23" spans="1:4" x14ac:dyDescent="0.2">
      <c r="A23" t="s">
        <v>106</v>
      </c>
      <c r="B23">
        <v>47799</v>
      </c>
      <c r="D23">
        <f t="shared" si="0"/>
        <v>47799</v>
      </c>
    </row>
    <row r="24" spans="1:4" x14ac:dyDescent="0.2">
      <c r="A24" t="s">
        <v>154</v>
      </c>
      <c r="B24">
        <v>156</v>
      </c>
      <c r="D24">
        <f t="shared" si="0"/>
        <v>156</v>
      </c>
    </row>
    <row r="25" spans="1:4" x14ac:dyDescent="0.2">
      <c r="A25" t="s">
        <v>171</v>
      </c>
      <c r="B25">
        <v>18</v>
      </c>
      <c r="D25">
        <f t="shared" si="0"/>
        <v>18</v>
      </c>
    </row>
    <row r="26" spans="1:4" x14ac:dyDescent="0.2">
      <c r="A26" t="s">
        <v>141</v>
      </c>
      <c r="B26">
        <v>401</v>
      </c>
      <c r="D26">
        <f t="shared" si="0"/>
        <v>401</v>
      </c>
    </row>
    <row r="27" spans="1:4" x14ac:dyDescent="0.2">
      <c r="A27" t="s">
        <v>185</v>
      </c>
      <c r="B27">
        <v>7</v>
      </c>
      <c r="D27">
        <f t="shared" si="0"/>
        <v>7</v>
      </c>
    </row>
    <row r="28" spans="1:4" x14ac:dyDescent="0.2">
      <c r="A28" t="s">
        <v>131</v>
      </c>
      <c r="B28">
        <v>973</v>
      </c>
      <c r="D28">
        <f t="shared" si="0"/>
        <v>973</v>
      </c>
    </row>
    <row r="29" spans="1:4" x14ac:dyDescent="0.2">
      <c r="A29" t="s">
        <v>105</v>
      </c>
      <c r="B29">
        <v>83464</v>
      </c>
      <c r="D29">
        <f t="shared" si="0"/>
        <v>83464</v>
      </c>
    </row>
    <row r="30" spans="1:4" x14ac:dyDescent="0.2">
      <c r="A30" t="s">
        <v>100</v>
      </c>
      <c r="B30">
        <v>1067945</v>
      </c>
      <c r="D30">
        <f t="shared" si="0"/>
        <v>1067945</v>
      </c>
    </row>
    <row r="31" spans="1:4" x14ac:dyDescent="0.2">
      <c r="A31" t="s">
        <v>200</v>
      </c>
      <c r="B31">
        <v>1</v>
      </c>
      <c r="D31">
        <f t="shared" si="0"/>
        <v>1</v>
      </c>
    </row>
    <row r="32" spans="1:4" x14ac:dyDescent="0.2">
      <c r="A32" t="s">
        <v>159</v>
      </c>
      <c r="B32">
        <v>58</v>
      </c>
      <c r="D32">
        <f t="shared" si="0"/>
        <v>58</v>
      </c>
    </row>
    <row r="33" spans="1:4" x14ac:dyDescent="0.2">
      <c r="A33" t="s">
        <v>107</v>
      </c>
      <c r="B33">
        <v>20983</v>
      </c>
      <c r="D33">
        <f t="shared" si="0"/>
        <v>20983</v>
      </c>
    </row>
    <row r="34" spans="1:4" x14ac:dyDescent="0.2">
      <c r="A34" t="s">
        <v>194</v>
      </c>
      <c r="B34">
        <v>4</v>
      </c>
      <c r="D34">
        <f t="shared" si="0"/>
        <v>4</v>
      </c>
    </row>
    <row r="35" spans="1:4" x14ac:dyDescent="0.2">
      <c r="A35" t="s">
        <v>158</v>
      </c>
      <c r="B35">
        <v>93</v>
      </c>
      <c r="D35">
        <f t="shared" si="0"/>
        <v>93</v>
      </c>
    </row>
    <row r="36" spans="1:4" x14ac:dyDescent="0.2">
      <c r="A36" t="s">
        <v>178</v>
      </c>
      <c r="B36">
        <v>10</v>
      </c>
      <c r="D36">
        <f t="shared" si="0"/>
        <v>10</v>
      </c>
    </row>
    <row r="37" spans="1:4" x14ac:dyDescent="0.2">
      <c r="A37" t="s">
        <v>110</v>
      </c>
      <c r="B37">
        <v>13343</v>
      </c>
      <c r="D37">
        <f t="shared" si="0"/>
        <v>13343</v>
      </c>
    </row>
    <row r="38" spans="1:4" x14ac:dyDescent="0.2">
      <c r="A38" t="s">
        <v>206</v>
      </c>
      <c r="B38">
        <v>1</v>
      </c>
      <c r="D38">
        <f t="shared" si="0"/>
        <v>1</v>
      </c>
    </row>
    <row r="39" spans="1:4" x14ac:dyDescent="0.2">
      <c r="A39" t="s">
        <v>182</v>
      </c>
      <c r="B39">
        <v>8</v>
      </c>
      <c r="D39">
        <f t="shared" si="0"/>
        <v>8</v>
      </c>
    </row>
    <row r="40" spans="1:4" x14ac:dyDescent="0.2">
      <c r="A40" t="s">
        <v>137</v>
      </c>
      <c r="B40">
        <v>544</v>
      </c>
      <c r="D40">
        <f t="shared" si="0"/>
        <v>544</v>
      </c>
    </row>
    <row r="41" spans="1:4" x14ac:dyDescent="0.2">
      <c r="A41" t="s">
        <v>162</v>
      </c>
      <c r="B41">
        <v>45</v>
      </c>
      <c r="D41">
        <f t="shared" si="0"/>
        <v>45</v>
      </c>
    </row>
    <row r="42" spans="1:4" x14ac:dyDescent="0.2">
      <c r="A42" t="s">
        <v>166</v>
      </c>
      <c r="B42">
        <v>35</v>
      </c>
      <c r="D42">
        <f t="shared" si="0"/>
        <v>35</v>
      </c>
    </row>
    <row r="43" spans="1:4" x14ac:dyDescent="0.2">
      <c r="A43" t="s">
        <v>150</v>
      </c>
      <c r="B43">
        <v>251</v>
      </c>
      <c r="D43">
        <f t="shared" si="0"/>
        <v>251</v>
      </c>
    </row>
    <row r="44" spans="1:4" x14ac:dyDescent="0.2">
      <c r="A44" t="s">
        <v>190</v>
      </c>
      <c r="B44">
        <v>5</v>
      </c>
      <c r="D44">
        <f t="shared" si="0"/>
        <v>5</v>
      </c>
    </row>
    <row r="45" spans="1:4" x14ac:dyDescent="0.2">
      <c r="A45" t="s">
        <v>173</v>
      </c>
      <c r="B45">
        <v>15</v>
      </c>
      <c r="D45">
        <f t="shared" si="0"/>
        <v>15</v>
      </c>
    </row>
    <row r="46" spans="1:4" x14ac:dyDescent="0.2">
      <c r="A46" t="s">
        <v>149</v>
      </c>
      <c r="B46">
        <v>254</v>
      </c>
      <c r="D46">
        <f t="shared" si="0"/>
        <v>254</v>
      </c>
    </row>
    <row r="47" spans="1:4" x14ac:dyDescent="0.2">
      <c r="A47" t="s">
        <v>192</v>
      </c>
      <c r="B47">
        <v>4</v>
      </c>
      <c r="D47">
        <f t="shared" si="0"/>
        <v>4</v>
      </c>
    </row>
    <row r="48" spans="1:4" x14ac:dyDescent="0.2">
      <c r="A48" t="s">
        <v>142</v>
      </c>
      <c r="B48">
        <v>392</v>
      </c>
      <c r="D48">
        <f t="shared" si="0"/>
        <v>392</v>
      </c>
    </row>
    <row r="49" spans="1:4" x14ac:dyDescent="0.2">
      <c r="A49" t="s">
        <v>125</v>
      </c>
      <c r="B49">
        <v>1408</v>
      </c>
      <c r="D49">
        <f t="shared" si="0"/>
        <v>1408</v>
      </c>
    </row>
    <row r="50" spans="1:4" x14ac:dyDescent="0.2">
      <c r="A50" t="s">
        <v>176</v>
      </c>
      <c r="B50">
        <v>11</v>
      </c>
      <c r="D50">
        <f t="shared" si="0"/>
        <v>11</v>
      </c>
    </row>
    <row r="51" spans="1:4" x14ac:dyDescent="0.2">
      <c r="A51" t="s">
        <v>160</v>
      </c>
      <c r="B51">
        <v>54</v>
      </c>
      <c r="D51">
        <f t="shared" si="0"/>
        <v>54</v>
      </c>
    </row>
    <row r="52" spans="1:4" x14ac:dyDescent="0.2">
      <c r="A52" t="s">
        <v>205</v>
      </c>
      <c r="B52">
        <v>1</v>
      </c>
      <c r="D52">
        <f t="shared" si="0"/>
        <v>1</v>
      </c>
    </row>
    <row r="53" spans="1:4" x14ac:dyDescent="0.2">
      <c r="A53" t="s">
        <v>151</v>
      </c>
      <c r="B53">
        <v>242</v>
      </c>
      <c r="D53">
        <f t="shared" si="0"/>
        <v>242</v>
      </c>
    </row>
    <row r="54" spans="1:4" x14ac:dyDescent="0.2">
      <c r="A54" t="s">
        <v>129</v>
      </c>
      <c r="B54">
        <v>1146</v>
      </c>
      <c r="D54">
        <f t="shared" si="0"/>
        <v>1146</v>
      </c>
    </row>
    <row r="55" spans="1:4" x14ac:dyDescent="0.2">
      <c r="A55" t="s">
        <v>119</v>
      </c>
      <c r="B55">
        <v>2915</v>
      </c>
      <c r="D55">
        <f t="shared" si="0"/>
        <v>2915</v>
      </c>
    </row>
    <row r="56" spans="1:4" x14ac:dyDescent="0.2">
      <c r="A56" t="s">
        <v>163</v>
      </c>
      <c r="B56">
        <v>43</v>
      </c>
      <c r="D56">
        <f t="shared" si="0"/>
        <v>43</v>
      </c>
    </row>
    <row r="57" spans="1:4" x14ac:dyDescent="0.2">
      <c r="A57" t="s">
        <v>204</v>
      </c>
      <c r="B57">
        <v>1</v>
      </c>
      <c r="D57">
        <f t="shared" si="0"/>
        <v>1</v>
      </c>
    </row>
    <row r="58" spans="1:4" x14ac:dyDescent="0.2">
      <c r="A58" t="s">
        <v>103</v>
      </c>
      <c r="B58">
        <v>125746</v>
      </c>
      <c r="D58">
        <f t="shared" si="0"/>
        <v>125746</v>
      </c>
    </row>
    <row r="59" spans="1:4" x14ac:dyDescent="0.2">
      <c r="A59" t="s">
        <v>121</v>
      </c>
      <c r="B59">
        <v>2294</v>
      </c>
      <c r="D59">
        <f t="shared" si="0"/>
        <v>2294</v>
      </c>
    </row>
    <row r="60" spans="1:4" x14ac:dyDescent="0.2">
      <c r="A60" t="s">
        <v>161</v>
      </c>
      <c r="B60">
        <v>51</v>
      </c>
      <c r="D60">
        <f t="shared" si="0"/>
        <v>51</v>
      </c>
    </row>
    <row r="61" spans="1:4" x14ac:dyDescent="0.2">
      <c r="A61" t="s">
        <v>172</v>
      </c>
      <c r="B61">
        <v>17</v>
      </c>
      <c r="D61">
        <f t="shared" si="0"/>
        <v>17</v>
      </c>
    </row>
    <row r="62" spans="1:4" x14ac:dyDescent="0.2">
      <c r="A62" t="s">
        <v>181</v>
      </c>
      <c r="B62">
        <v>9</v>
      </c>
      <c r="D62">
        <f t="shared" si="0"/>
        <v>9</v>
      </c>
    </row>
    <row r="63" spans="1:4" x14ac:dyDescent="0.2">
      <c r="A63" t="s">
        <v>189</v>
      </c>
      <c r="B63">
        <v>6</v>
      </c>
      <c r="D63">
        <f t="shared" si="0"/>
        <v>6</v>
      </c>
    </row>
    <row r="64" spans="1:4" x14ac:dyDescent="0.2">
      <c r="A64" t="s">
        <v>138</v>
      </c>
      <c r="B64">
        <v>518</v>
      </c>
      <c r="D64">
        <f t="shared" si="0"/>
        <v>518</v>
      </c>
    </row>
    <row r="65" spans="1:4" x14ac:dyDescent="0.2">
      <c r="A65" t="s">
        <v>109</v>
      </c>
      <c r="B65">
        <v>16838</v>
      </c>
      <c r="D65">
        <f t="shared" si="0"/>
        <v>16838</v>
      </c>
    </row>
    <row r="66" spans="1:4" x14ac:dyDescent="0.2">
      <c r="A66" t="s">
        <v>117</v>
      </c>
      <c r="B66">
        <v>3608</v>
      </c>
      <c r="D66">
        <f t="shared" si="0"/>
        <v>3608</v>
      </c>
    </row>
    <row r="67" spans="1:4" x14ac:dyDescent="0.2">
      <c r="A67" t="s">
        <v>203</v>
      </c>
      <c r="B67">
        <v>1</v>
      </c>
      <c r="D67">
        <f t="shared" ref="D67:D108" si="1">IF(C67="omit",0,B67)</f>
        <v>1</v>
      </c>
    </row>
    <row r="68" spans="1:4" x14ac:dyDescent="0.2">
      <c r="A68" t="s">
        <v>143</v>
      </c>
      <c r="B68">
        <v>379</v>
      </c>
      <c r="D68">
        <f t="shared" si="1"/>
        <v>379</v>
      </c>
    </row>
    <row r="69" spans="1:4" x14ac:dyDescent="0.2">
      <c r="A69" t="s">
        <v>133</v>
      </c>
      <c r="B69">
        <v>613</v>
      </c>
      <c r="D69">
        <f t="shared" si="1"/>
        <v>613</v>
      </c>
    </row>
    <row r="70" spans="1:4" x14ac:dyDescent="0.2">
      <c r="A70" t="s">
        <v>111</v>
      </c>
      <c r="B70">
        <v>11513</v>
      </c>
      <c r="D70">
        <f t="shared" si="1"/>
        <v>11513</v>
      </c>
    </row>
    <row r="71" spans="1:4" x14ac:dyDescent="0.2">
      <c r="A71" t="s">
        <v>196</v>
      </c>
      <c r="B71">
        <v>3</v>
      </c>
      <c r="D71">
        <f t="shared" si="1"/>
        <v>3</v>
      </c>
    </row>
    <row r="72" spans="1:4" x14ac:dyDescent="0.2">
      <c r="A72" t="s">
        <v>157</v>
      </c>
      <c r="B72">
        <v>118</v>
      </c>
      <c r="D72">
        <f t="shared" si="1"/>
        <v>118</v>
      </c>
    </row>
    <row r="73" spans="1:4" x14ac:dyDescent="0.2">
      <c r="A73" t="s">
        <v>201</v>
      </c>
      <c r="B73">
        <v>1</v>
      </c>
      <c r="D73">
        <f t="shared" si="1"/>
        <v>1</v>
      </c>
    </row>
    <row r="74" spans="1:4" x14ac:dyDescent="0.2">
      <c r="A74" t="s">
        <v>144</v>
      </c>
      <c r="B74">
        <v>369</v>
      </c>
      <c r="D74">
        <f t="shared" si="1"/>
        <v>369</v>
      </c>
    </row>
    <row r="75" spans="1:4" x14ac:dyDescent="0.2">
      <c r="A75" t="s">
        <v>127</v>
      </c>
      <c r="B75">
        <v>1287</v>
      </c>
      <c r="D75">
        <f t="shared" si="1"/>
        <v>1287</v>
      </c>
    </row>
    <row r="76" spans="1:4" x14ac:dyDescent="0.2">
      <c r="A76" t="s">
        <v>202</v>
      </c>
      <c r="B76">
        <v>1</v>
      </c>
      <c r="D76">
        <f t="shared" si="1"/>
        <v>1</v>
      </c>
    </row>
    <row r="77" spans="1:4" x14ac:dyDescent="0.2">
      <c r="A77" t="s">
        <v>186</v>
      </c>
      <c r="B77">
        <v>7</v>
      </c>
      <c r="D77">
        <f t="shared" si="1"/>
        <v>7</v>
      </c>
    </row>
    <row r="78" spans="1:4" x14ac:dyDescent="0.2">
      <c r="A78" t="s">
        <v>145</v>
      </c>
      <c r="B78">
        <v>323</v>
      </c>
      <c r="D78">
        <f t="shared" si="1"/>
        <v>323</v>
      </c>
    </row>
    <row r="79" spans="1:4" x14ac:dyDescent="0.2">
      <c r="A79" t="s">
        <v>156</v>
      </c>
      <c r="B79">
        <v>132</v>
      </c>
      <c r="D79">
        <f t="shared" si="1"/>
        <v>132</v>
      </c>
    </row>
    <row r="80" spans="1:4" x14ac:dyDescent="0.2">
      <c r="A80" t="s">
        <v>146</v>
      </c>
      <c r="B80">
        <v>286</v>
      </c>
      <c r="D80">
        <f t="shared" si="1"/>
        <v>286</v>
      </c>
    </row>
    <row r="81" spans="1:4" x14ac:dyDescent="0.2">
      <c r="A81" t="s">
        <v>126</v>
      </c>
      <c r="B81">
        <v>1304</v>
      </c>
      <c r="D81">
        <f t="shared" si="1"/>
        <v>1304</v>
      </c>
    </row>
    <row r="82" spans="1:4" x14ac:dyDescent="0.2">
      <c r="A82" t="s">
        <v>118</v>
      </c>
      <c r="B82">
        <v>3459</v>
      </c>
      <c r="D82">
        <f t="shared" si="1"/>
        <v>3459</v>
      </c>
    </row>
    <row r="83" spans="1:4" x14ac:dyDescent="0.2">
      <c r="A83" t="s">
        <v>120</v>
      </c>
      <c r="B83">
        <v>2386</v>
      </c>
      <c r="D83">
        <f t="shared" si="1"/>
        <v>2386</v>
      </c>
    </row>
    <row r="84" spans="1:4" x14ac:dyDescent="0.2">
      <c r="A84" t="s">
        <v>104</v>
      </c>
      <c r="B84">
        <v>90686</v>
      </c>
      <c r="D84">
        <f t="shared" si="1"/>
        <v>90686</v>
      </c>
    </row>
    <row r="85" spans="1:4" x14ac:dyDescent="0.2">
      <c r="A85" t="s">
        <v>115</v>
      </c>
      <c r="B85">
        <v>4930</v>
      </c>
      <c r="D85">
        <f t="shared" si="1"/>
        <v>4930</v>
      </c>
    </row>
    <row r="86" spans="1:4" x14ac:dyDescent="0.2">
      <c r="A86" t="s">
        <v>128</v>
      </c>
      <c r="B86">
        <v>1194</v>
      </c>
      <c r="D86">
        <f t="shared" si="1"/>
        <v>1194</v>
      </c>
    </row>
    <row r="87" spans="1:4" x14ac:dyDescent="0.2">
      <c r="A87" t="s">
        <v>114</v>
      </c>
      <c r="B87">
        <v>5115</v>
      </c>
      <c r="D87">
        <f t="shared" si="1"/>
        <v>5115</v>
      </c>
    </row>
    <row r="88" spans="1:4" x14ac:dyDescent="0.2">
      <c r="A88" t="s">
        <v>174</v>
      </c>
      <c r="B88">
        <v>14</v>
      </c>
      <c r="C88" t="s">
        <v>207</v>
      </c>
      <c r="D88">
        <f t="shared" si="1"/>
        <v>0</v>
      </c>
    </row>
    <row r="89" spans="1:4" x14ac:dyDescent="0.2">
      <c r="A89" t="s">
        <v>168</v>
      </c>
      <c r="B89">
        <v>32</v>
      </c>
      <c r="C89" t="s">
        <v>207</v>
      </c>
      <c r="D89">
        <f t="shared" si="1"/>
        <v>0</v>
      </c>
    </row>
    <row r="90" spans="1:4" x14ac:dyDescent="0.2">
      <c r="A90" t="s">
        <v>169</v>
      </c>
      <c r="B90">
        <v>28</v>
      </c>
      <c r="C90" t="s">
        <v>207</v>
      </c>
      <c r="D90">
        <f t="shared" si="1"/>
        <v>0</v>
      </c>
    </row>
    <row r="91" spans="1:4" x14ac:dyDescent="0.2">
      <c r="A91" t="s">
        <v>136</v>
      </c>
      <c r="B91">
        <v>557</v>
      </c>
      <c r="C91" t="s">
        <v>207</v>
      </c>
      <c r="D91">
        <f t="shared" si="1"/>
        <v>0</v>
      </c>
    </row>
    <row r="92" spans="1:4" x14ac:dyDescent="0.2">
      <c r="A92" t="s">
        <v>113</v>
      </c>
      <c r="B92">
        <v>8342</v>
      </c>
      <c r="C92" t="s">
        <v>207</v>
      </c>
      <c r="D92">
        <f t="shared" si="1"/>
        <v>0</v>
      </c>
    </row>
    <row r="93" spans="1:4" x14ac:dyDescent="0.2">
      <c r="A93" t="s">
        <v>177</v>
      </c>
      <c r="B93">
        <v>11</v>
      </c>
      <c r="C93" t="s">
        <v>207</v>
      </c>
      <c r="D93">
        <f t="shared" si="1"/>
        <v>0</v>
      </c>
    </row>
    <row r="94" spans="1:4" x14ac:dyDescent="0.2">
      <c r="A94" t="s">
        <v>198</v>
      </c>
      <c r="B94">
        <v>2</v>
      </c>
      <c r="C94" t="s">
        <v>207</v>
      </c>
      <c r="D94">
        <f t="shared" si="1"/>
        <v>0</v>
      </c>
    </row>
    <row r="95" spans="1:4" x14ac:dyDescent="0.2">
      <c r="A95" t="s">
        <v>199</v>
      </c>
      <c r="B95">
        <v>1</v>
      </c>
      <c r="C95" t="s">
        <v>207</v>
      </c>
      <c r="D95">
        <f t="shared" si="1"/>
        <v>0</v>
      </c>
    </row>
    <row r="96" spans="1:4" x14ac:dyDescent="0.2">
      <c r="A96" t="s">
        <v>147</v>
      </c>
      <c r="B96">
        <v>281</v>
      </c>
      <c r="C96" t="s">
        <v>207</v>
      </c>
      <c r="D96">
        <f t="shared" si="1"/>
        <v>0</v>
      </c>
    </row>
    <row r="97" spans="1:4" x14ac:dyDescent="0.2">
      <c r="A97" t="s">
        <v>135</v>
      </c>
      <c r="B97">
        <v>562</v>
      </c>
      <c r="C97" t="s">
        <v>207</v>
      </c>
      <c r="D97">
        <f t="shared" si="1"/>
        <v>0</v>
      </c>
    </row>
    <row r="98" spans="1:4" x14ac:dyDescent="0.2">
      <c r="A98" t="s">
        <v>167</v>
      </c>
      <c r="B98">
        <v>33</v>
      </c>
      <c r="C98" t="s">
        <v>207</v>
      </c>
      <c r="D98">
        <f t="shared" si="1"/>
        <v>0</v>
      </c>
    </row>
    <row r="99" spans="1:4" x14ac:dyDescent="0.2">
      <c r="A99" t="s">
        <v>132</v>
      </c>
      <c r="B99">
        <v>872</v>
      </c>
      <c r="C99" t="s">
        <v>207</v>
      </c>
      <c r="D99">
        <f t="shared" si="1"/>
        <v>0</v>
      </c>
    </row>
    <row r="100" spans="1:4" x14ac:dyDescent="0.2">
      <c r="A100" t="s">
        <v>191</v>
      </c>
      <c r="B100">
        <v>5</v>
      </c>
      <c r="C100" t="s">
        <v>207</v>
      </c>
      <c r="D100">
        <f t="shared" si="1"/>
        <v>0</v>
      </c>
    </row>
    <row r="101" spans="1:4" x14ac:dyDescent="0.2">
      <c r="A101" t="s">
        <v>130</v>
      </c>
      <c r="B101">
        <v>1145</v>
      </c>
      <c r="C101" t="s">
        <v>207</v>
      </c>
      <c r="D101">
        <f t="shared" si="1"/>
        <v>0</v>
      </c>
    </row>
    <row r="102" spans="1:4" x14ac:dyDescent="0.2">
      <c r="A102" t="s">
        <v>122</v>
      </c>
      <c r="B102">
        <v>2116</v>
      </c>
      <c r="C102" t="s">
        <v>207</v>
      </c>
      <c r="D102">
        <f t="shared" si="1"/>
        <v>0</v>
      </c>
    </row>
    <row r="103" spans="1:4" x14ac:dyDescent="0.2">
      <c r="A103" t="s">
        <v>101</v>
      </c>
      <c r="B103">
        <v>729231</v>
      </c>
      <c r="C103" t="s">
        <v>207</v>
      </c>
      <c r="D103">
        <f t="shared" si="1"/>
        <v>0</v>
      </c>
    </row>
    <row r="104" spans="1:4" x14ac:dyDescent="0.2">
      <c r="A104" t="s">
        <v>123</v>
      </c>
      <c r="B104">
        <v>1940</v>
      </c>
      <c r="C104" t="s">
        <v>207</v>
      </c>
      <c r="D104">
        <f t="shared" si="1"/>
        <v>0</v>
      </c>
    </row>
    <row r="105" spans="1:4" x14ac:dyDescent="0.2">
      <c r="A105" t="s">
        <v>139</v>
      </c>
      <c r="B105">
        <v>488</v>
      </c>
      <c r="D105">
        <f t="shared" si="1"/>
        <v>488</v>
      </c>
    </row>
    <row r="106" spans="1:4" x14ac:dyDescent="0.2">
      <c r="A106" t="s">
        <v>102</v>
      </c>
      <c r="B106">
        <v>154940</v>
      </c>
      <c r="C106" t="s">
        <v>207</v>
      </c>
      <c r="D106">
        <f t="shared" si="1"/>
        <v>0</v>
      </c>
    </row>
    <row r="107" spans="1:4" x14ac:dyDescent="0.2">
      <c r="A107" t="s">
        <v>165</v>
      </c>
      <c r="B107">
        <v>43</v>
      </c>
      <c r="D107">
        <f t="shared" si="1"/>
        <v>43</v>
      </c>
    </row>
    <row r="108" spans="1:4" x14ac:dyDescent="0.2">
      <c r="A108" t="s">
        <v>112</v>
      </c>
      <c r="B108">
        <v>10343</v>
      </c>
      <c r="C108" t="s">
        <v>207</v>
      </c>
      <c r="D108">
        <f t="shared" si="1"/>
        <v>0</v>
      </c>
    </row>
    <row r="110" spans="1:4" x14ac:dyDescent="0.2">
      <c r="D110">
        <f>SUM(D2:D108)</f>
        <v>1541105</v>
      </c>
    </row>
  </sheetData>
  <sortState xmlns:xlrd2="http://schemas.microsoft.com/office/spreadsheetml/2017/richdata2" ref="A2:B108">
    <sortCondition ref="A2:A10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D589-3903-B14B-BE3D-FD9C015F0C08}">
  <dimension ref="A1:AS59"/>
  <sheetViews>
    <sheetView zoomScale="130" zoomScaleNormal="130" workbookViewId="0">
      <pane xSplit="2" ySplit="1" topLeftCell="AJ31" activePane="bottomRight" state="frozen"/>
      <selection pane="topRight" activeCell="C1" sqref="C1"/>
      <selection pane="bottomLeft" activeCell="A2" sqref="A2"/>
      <selection pane="bottomRight" activeCell="A54" sqref="A54"/>
    </sheetView>
  </sheetViews>
  <sheetFormatPr baseColWidth="10" defaultRowHeight="16" x14ac:dyDescent="0.2"/>
  <cols>
    <col min="2" max="2" width="12.33203125" bestFit="1" customWidth="1"/>
    <col min="3" max="3" width="9" bestFit="1" customWidth="1"/>
    <col min="4" max="4" width="12.5" bestFit="1" customWidth="1"/>
    <col min="5" max="5" width="31.6640625" bestFit="1" customWidth="1"/>
    <col min="6" max="6" width="21" bestFit="1" customWidth="1"/>
    <col min="7" max="7" width="12.1640625" bestFit="1" customWidth="1"/>
    <col min="8" max="8" width="7.1640625" bestFit="1" customWidth="1"/>
    <col min="9" max="9" width="9.1640625" bestFit="1" customWidth="1"/>
    <col min="10" max="10" width="7.6640625" customWidth="1"/>
    <col min="11" max="11" width="26.6640625" bestFit="1" customWidth="1"/>
    <col min="12" max="12" width="21" bestFit="1" customWidth="1"/>
    <col min="13" max="13" width="6.6640625" bestFit="1" customWidth="1"/>
    <col min="14" max="14" width="7.1640625" bestFit="1" customWidth="1"/>
    <col min="15" max="15" width="9.1640625" bestFit="1" customWidth="1"/>
    <col min="16" max="16" width="25.33203125" bestFit="1" customWidth="1"/>
    <col min="17" max="17" width="14.83203125" bestFit="1" customWidth="1"/>
    <col min="18" max="18" width="6.6640625" bestFit="1" customWidth="1"/>
    <col min="19" max="19" width="7.1640625" bestFit="1" customWidth="1"/>
    <col min="20" max="20" width="9.1640625" bestFit="1" customWidth="1"/>
    <col min="21" max="21" width="23.1640625" bestFit="1" customWidth="1"/>
    <col min="22" max="22" width="14.83203125" bestFit="1" customWidth="1"/>
    <col min="23" max="23" width="7.6640625" bestFit="1" customWidth="1"/>
    <col min="24" max="24" width="7.1640625" bestFit="1" customWidth="1"/>
    <col min="25" max="25" width="9.1640625" bestFit="1" customWidth="1"/>
    <col min="26" max="26" width="25.5" bestFit="1" customWidth="1"/>
    <col min="27" max="27" width="14.83203125" bestFit="1" customWidth="1"/>
    <col min="28" max="28" width="7.6640625" bestFit="1" customWidth="1"/>
    <col min="29" max="29" width="7.1640625" bestFit="1" customWidth="1"/>
    <col min="30" max="30" width="9.1640625" bestFit="1" customWidth="1"/>
    <col min="31" max="31" width="28.33203125" bestFit="1" customWidth="1"/>
    <col min="32" max="32" width="17.83203125" bestFit="1" customWidth="1"/>
    <col min="33" max="33" width="7.6640625" bestFit="1" customWidth="1"/>
    <col min="34" max="34" width="7.1640625" bestFit="1" customWidth="1"/>
    <col min="35" max="35" width="9.1640625" bestFit="1" customWidth="1"/>
    <col min="36" max="36" width="25.5" bestFit="1" customWidth="1"/>
    <col min="37" max="37" width="17.83203125" bestFit="1" customWidth="1"/>
    <col min="38" max="38" width="7.6640625" bestFit="1" customWidth="1"/>
    <col min="39" max="39" width="7.1640625" bestFit="1" customWidth="1"/>
    <col min="40" max="40" width="9.1640625" bestFit="1" customWidth="1"/>
    <col min="41" max="41" width="25.5" bestFit="1" customWidth="1"/>
    <col min="42" max="42" width="17.83203125" bestFit="1" customWidth="1"/>
    <col min="43" max="43" width="7.6640625" bestFit="1" customWidth="1"/>
    <col min="44" max="44" width="7.1640625" bestFit="1" customWidth="1"/>
    <col min="45" max="45" width="9.1640625" bestFit="1" customWidth="1"/>
  </cols>
  <sheetData>
    <row r="1" spans="1:45" s="5" customFormat="1" x14ac:dyDescent="0.2">
      <c r="A1" s="42" t="s">
        <v>349</v>
      </c>
      <c r="B1" s="5" t="s">
        <v>68</v>
      </c>
      <c r="C1" s="39" t="s">
        <v>69</v>
      </c>
      <c r="D1" s="39" t="s">
        <v>75</v>
      </c>
      <c r="E1" s="40" t="s">
        <v>70</v>
      </c>
      <c r="F1" s="40" t="s">
        <v>6</v>
      </c>
      <c r="G1" s="40" t="s">
        <v>76</v>
      </c>
      <c r="H1" s="40" t="s">
        <v>79</v>
      </c>
      <c r="I1" s="40" t="s">
        <v>81</v>
      </c>
      <c r="J1" s="40"/>
      <c r="K1" s="40" t="s">
        <v>71</v>
      </c>
      <c r="L1" s="40" t="s">
        <v>6</v>
      </c>
      <c r="M1" s="5" t="s">
        <v>76</v>
      </c>
      <c r="N1" s="40" t="s">
        <v>79</v>
      </c>
      <c r="O1" s="40" t="s">
        <v>81</v>
      </c>
      <c r="P1" s="40" t="s">
        <v>77</v>
      </c>
      <c r="Q1" s="40" t="s">
        <v>6</v>
      </c>
      <c r="R1" s="5" t="s">
        <v>76</v>
      </c>
      <c r="S1" s="40" t="s">
        <v>79</v>
      </c>
      <c r="T1" s="40" t="s">
        <v>81</v>
      </c>
      <c r="U1" s="40" t="s">
        <v>86</v>
      </c>
      <c r="V1" s="40" t="s">
        <v>6</v>
      </c>
      <c r="W1" s="5" t="s">
        <v>76</v>
      </c>
      <c r="X1" s="40" t="s">
        <v>79</v>
      </c>
      <c r="Y1" s="40" t="s">
        <v>81</v>
      </c>
      <c r="Z1" s="40" t="s">
        <v>260</v>
      </c>
      <c r="AA1" s="40" t="s">
        <v>6</v>
      </c>
      <c r="AB1" s="5" t="s">
        <v>76</v>
      </c>
      <c r="AC1" s="40" t="s">
        <v>79</v>
      </c>
      <c r="AD1" s="40" t="s">
        <v>81</v>
      </c>
      <c r="AE1" s="40" t="s">
        <v>90</v>
      </c>
      <c r="AF1" s="40" t="s">
        <v>6</v>
      </c>
      <c r="AG1" s="5" t="s">
        <v>76</v>
      </c>
      <c r="AH1" s="40" t="s">
        <v>79</v>
      </c>
      <c r="AI1" s="40" t="s">
        <v>81</v>
      </c>
      <c r="AJ1" s="40" t="s">
        <v>91</v>
      </c>
      <c r="AK1" s="40" t="s">
        <v>6</v>
      </c>
      <c r="AL1" s="5" t="s">
        <v>76</v>
      </c>
      <c r="AM1" s="40" t="s">
        <v>79</v>
      </c>
      <c r="AN1" s="40" t="s">
        <v>81</v>
      </c>
      <c r="AO1" s="40" t="s">
        <v>92</v>
      </c>
      <c r="AP1" s="40" t="s">
        <v>6</v>
      </c>
      <c r="AQ1" s="5" t="s">
        <v>76</v>
      </c>
      <c r="AR1" s="40" t="s">
        <v>79</v>
      </c>
      <c r="AS1" s="40" t="s">
        <v>81</v>
      </c>
    </row>
    <row r="2" spans="1:45" x14ac:dyDescent="0.2">
      <c r="A2" s="41">
        <v>1</v>
      </c>
      <c r="B2" t="s">
        <v>12</v>
      </c>
      <c r="C2" s="2">
        <v>130856</v>
      </c>
      <c r="D2" s="2">
        <v>22173</v>
      </c>
      <c r="E2" s="3" t="str">
        <f t="shared" ref="E2:E29" si="0">CONCATENATE("-very much ",B2,".[jj*] PUNC")</f>
        <v>-very much low.[jj*] PUNC</v>
      </c>
      <c r="F2" s="2">
        <v>0</v>
      </c>
      <c r="G2" s="1">
        <f>IF(F2=0,G$52,(LOG(F2 / 1002889754) - LOG($C$52/ 1002889754) - LOG($D2 / 1002889754)) / LOG(10))</f>
        <v>-3.7271172363632399</v>
      </c>
      <c r="H2" s="1">
        <f>(G2-G$56)/G$57</f>
        <v>-3.5000000000000004</v>
      </c>
      <c r="I2" s="1">
        <f>AVERAGE(H2:H8)</f>
        <v>-2.2027144876976168</v>
      </c>
      <c r="J2" s="1"/>
      <c r="K2" s="3" t="str">
        <f t="shared" ref="K2:K29" si="1">CONCATENATE("more ",B2,".[jj*] PUNC")</f>
        <v>more low.[jj*] PUNC</v>
      </c>
      <c r="L2" s="2">
        <v>2</v>
      </c>
      <c r="M2" s="1">
        <f>IF(L2=0,M$52,(LOG(L2 / 1002889754) - LOG(L$51/ 1002889754) - LOG($D2 / 1002889754)) / LOG(10))</f>
        <v>-1.4028820546825171</v>
      </c>
      <c r="N2" s="1">
        <f>(M2-M$56)/M$57</f>
        <v>-1.7919583392354708</v>
      </c>
      <c r="O2" s="1">
        <f>AVERAGE(N2:N8)</f>
        <v>-1.5016365566305852</v>
      </c>
      <c r="P2" s="3" t="str">
        <f>CONCATENATE("less ",$B2,".[jj*] PUNC")</f>
        <v>less low.[jj*] PUNC</v>
      </c>
      <c r="Q2" s="2">
        <v>2</v>
      </c>
      <c r="R2" s="1">
        <f>IF(Q2=0,R$52,(LOG(Q2 / 1002889754) - LOG(Q$51/ 1002889754) - LOG($D2 / 1002889754)) / LOG(10))</f>
        <v>-0.57417760228340242</v>
      </c>
      <c r="S2" s="1">
        <f>(R2-R$56)/R$57</f>
        <v>-1.3298363664604596</v>
      </c>
      <c r="T2" s="1">
        <f>AVERAGE(S2:S8)</f>
        <v>-1.2494555579710698</v>
      </c>
      <c r="U2" s="3" t="str">
        <f>CONCATENATE(,$B2,".[jj*] enough")</f>
        <v>low.[jj*] enough</v>
      </c>
      <c r="V2" s="2">
        <v>250</v>
      </c>
      <c r="W2" s="1">
        <f>IF(V2=0,W$52,(LOG(V2 / 1002889754) - LOG(V$51/ 1002889754) - LOG($C2 / 1002889754)) / LOG(10))</f>
        <v>0.68423524094134747</v>
      </c>
      <c r="X2" s="1">
        <f>(W2-W$56)/W$57</f>
        <v>0.49631121359772362</v>
      </c>
      <c r="Y2" s="1">
        <f>AVERAGE(X2:X8)</f>
        <v>0.56204361110898005</v>
      </c>
      <c r="Z2" s="3" t="str">
        <f>CONCATENATE("that.[r*] ",$B2,".[jj*] PUNC")</f>
        <v>that.[r*] low.[jj*] PUNC</v>
      </c>
      <c r="AA2" s="2">
        <v>112</v>
      </c>
      <c r="AB2" s="1">
        <f>IF(AA2=0,AB$52,(LOG(AA2 / 1002889754) - LOG(AA$51/ 1002889754) - LOG($D2 / 1002889754)) / LOG(10))</f>
        <v>1.6518874288362997</v>
      </c>
      <c r="AC2" s="1">
        <f>(AB2-AB$56)/AB$57</f>
        <v>0.7220004131679395</v>
      </c>
      <c r="AD2" s="1">
        <f>AVERAGE(AC2:AC8)</f>
        <v>0.86531091998992893</v>
      </c>
      <c r="AE2" s="3" t="str">
        <f>CONCATENATE("-a little ",$B2,".[jj*] PUNC")</f>
        <v>-a little low.[jj*] PUNC</v>
      </c>
      <c r="AF2">
        <v>8</v>
      </c>
      <c r="AG2" s="1">
        <f>IF(AF2=0,AG$52,(LOG(AF2 / 1002889754) - LOG(AF$51/ 1002889754) - LOG($D2 / 1002889754)) / LOG(10))</f>
        <v>-2.597646045023172E-2</v>
      </c>
      <c r="AH2" s="1">
        <f>(AG2-AG$56)/AG$57</f>
        <v>0.80462907381145554</v>
      </c>
      <c r="AI2" s="1">
        <f>AVERAGE(AH2:AH8)</f>
        <v>-0.1439200151340434</v>
      </c>
      <c r="AJ2" s="3" t="str">
        <f>CONCATENATE("no ",$B2,".[jj*] PUNC")</f>
        <v>no low.[jj*] PUNC</v>
      </c>
      <c r="AK2">
        <v>4</v>
      </c>
      <c r="AL2" s="1">
        <f>IF(AK2=0,AL$52,(LOG(AK2 / 1002889754) - LOG(AK$51/ 1002889754) - LOG($D2 / 1002889754)) / LOG(10))</f>
        <v>-0.93034350077715633</v>
      </c>
      <c r="AM2" s="1">
        <f>(AL2-AL$56)/AL$57</f>
        <v>-1.7088617377613511</v>
      </c>
      <c r="AN2" s="1">
        <f>AVERAGE(AM2:AM8)</f>
        <v>-1.8561492961629278</v>
      </c>
      <c r="AO2" s="3" t="str">
        <f>CONCATENATE("any ",$B2,".[jj*] PUNC")</f>
        <v>any low.[jj*] PUNC</v>
      </c>
      <c r="AP2" s="2">
        <v>0</v>
      </c>
      <c r="AQ2" s="1">
        <f t="shared" ref="AQ2:AQ50" si="2">IF(AP2=0,AQ$52,(LOG(AP2 / 1002889754) - LOG(AP$51/ 1002889754) - LOG($D2 / 1002889754)) / LOG(10))</f>
        <v>-3.4473347941074066</v>
      </c>
      <c r="AR2" s="1">
        <f>(AQ2-AQ$56)/AQ$57</f>
        <v>-3.5</v>
      </c>
      <c r="AS2" s="1">
        <f>AVERAGE(AR2:AR8)</f>
        <v>-1.4549224817926583</v>
      </c>
    </row>
    <row r="3" spans="1:45" x14ac:dyDescent="0.2">
      <c r="A3" s="41"/>
      <c r="B3" t="s">
        <v>7</v>
      </c>
      <c r="C3" s="2">
        <v>33189</v>
      </c>
      <c r="D3" s="2">
        <v>6043</v>
      </c>
      <c r="E3" s="3" t="str">
        <f t="shared" si="0"/>
        <v>-very much fast.[jj*] PUNC</v>
      </c>
      <c r="F3" s="2">
        <v>0</v>
      </c>
      <c r="G3" s="1">
        <f t="shared" ref="G3:G50" si="3">IF(F3=0,G$52,(LOG(F3 / 1002889754) - LOG($C$52/ 1002889754) - LOG($D3 / 1002889754)) / LOG(10))</f>
        <v>-3.7271172363632399</v>
      </c>
      <c r="H3" s="1">
        <f t="shared" ref="H3:H50" si="4">(G3-G$56)/G$57</f>
        <v>-3.5000000000000004</v>
      </c>
      <c r="I3" s="1"/>
      <c r="J3" s="1"/>
      <c r="K3" s="3" t="str">
        <f t="shared" si="1"/>
        <v>more fast.[jj*] PUNC</v>
      </c>
      <c r="L3" s="2">
        <v>0</v>
      </c>
      <c r="M3" s="1">
        <f t="shared" ref="M3:M50" si="5">IF(L3=0,M$52,(LOG(L3 / 1002889754) - LOG(L$51/ 1002889754) - LOG($D3 / 1002889754)) / LOG(10))</f>
        <v>-3.025430569137892</v>
      </c>
      <c r="N3" s="1">
        <f t="shared" ref="N3:N50" si="6">(M3-M$56)/M$57</f>
        <v>-3.5</v>
      </c>
      <c r="O3" s="1"/>
      <c r="P3" s="3" t="str">
        <f t="shared" ref="P3:P50" si="7">CONCATENATE("less ",$B3,".[jj*] PUNC")</f>
        <v>less fast.[jj*] PUNC</v>
      </c>
      <c r="Q3" s="2">
        <v>1</v>
      </c>
      <c r="R3" s="1">
        <f t="shared" ref="R3:R50" si="8">IF(Q3=0,R$52,(LOG(Q3 / 1002889754) - LOG(Q$51/ 1002889754) - LOG($D3 / 1002889754)) / LOG(10))</f>
        <v>-0.31063573519764098</v>
      </c>
      <c r="S3" s="1">
        <f t="shared" ref="S3:S50" si="9">(R3-R$56)/R$57</f>
        <v>-1.0493798307619338</v>
      </c>
      <c r="T3" s="1"/>
      <c r="U3" s="3" t="str">
        <f t="shared" ref="U3:U50" si="10">CONCATENATE(,$B3,".[jj*] enough")</f>
        <v>fast.[jj*] enough</v>
      </c>
      <c r="V3" s="2">
        <v>92</v>
      </c>
      <c r="W3" s="1">
        <f t="shared" ref="W3:W50" si="11">IF(V3=0,W$52,(LOG(V3 / 1002889754) - LOG(V$51/ 1002889754) - LOG($C3 / 1002889754)) / LOG(10))</f>
        <v>0.84588253317590079</v>
      </c>
      <c r="X3" s="1">
        <f t="shared" ref="X3:X50" si="12">(W3-W$56)/W$57</f>
        <v>0.68904285330985604</v>
      </c>
      <c r="Y3" s="1"/>
      <c r="Z3" s="3" t="str">
        <f t="shared" ref="Z3:Z51" si="13">CONCATENATE("that.[r*] ",$B3,".[jj*] PUNC")</f>
        <v>that.[r*] fast.[jj*] PUNC</v>
      </c>
      <c r="AA3" s="12">
        <v>79</v>
      </c>
      <c r="AB3" s="1">
        <f t="shared" ref="AB3:AB50" si="14">IF(AA3=0,AB$52,(LOG(AA3 / 1002889754) - LOG(AA$51/ 1002889754) - LOG($D3 / 1002889754)) / LOG(10))</f>
        <v>2.0648683602063023</v>
      </c>
      <c r="AC3" s="1">
        <f t="shared" ref="AC3:AC50" si="15">(AB3-AB$56)/AB$57</f>
        <v>1.4993563039466764</v>
      </c>
      <c r="AD3" s="1"/>
      <c r="AE3" s="3" t="str">
        <f t="shared" ref="AE3:AE50" si="16">CONCATENATE("-a little ",$B3,".[jj*] PUNC")</f>
        <v>-a little fast.[jj*] PUNC</v>
      </c>
      <c r="AF3" s="2">
        <v>1</v>
      </c>
      <c r="AG3" s="1">
        <f t="shared" ref="AG3:AG50" si="17">IF(AF3=0,AG$52,(LOG(AF3 / 1002889754) - LOG(AF$51/ 1002889754) - LOG($D3 / 1002889754)) / LOG(10))</f>
        <v>-0.36449458469243101</v>
      </c>
      <c r="AH3" s="1">
        <f t="shared" ref="AH3:AH50" si="18">(AG3-AG$56)/AG$57</f>
        <v>-0.10310484680082205</v>
      </c>
      <c r="AI3" s="1"/>
      <c r="AJ3" s="3" t="str">
        <f t="shared" ref="AJ3:AJ50" si="19">CONCATENATE("no ",$B3,".[jj*] PUNC")</f>
        <v>no fast.[jj*] PUNC</v>
      </c>
      <c r="AK3" s="2">
        <v>0</v>
      </c>
      <c r="AL3" s="1">
        <f t="shared" ref="AL3:AL50" si="20">IF(AK3=0,AL$52,(LOG(AK3 / 1002889754) - LOG(AK$51/ 1002889754) - LOG($D3 / 1002889754)) / LOG(10))</f>
        <v>-2.6134560752922145</v>
      </c>
      <c r="AM3" s="1">
        <f t="shared" ref="AM3:AM50" si="21">(AL3-AL$56)/AL$57</f>
        <v>-3.5</v>
      </c>
      <c r="AN3" s="1"/>
      <c r="AO3" s="3" t="str">
        <f t="shared" ref="AO3:AO50" si="22">CONCATENATE("any ",$B3,".[jj*] PUNC")</f>
        <v>any fast.[jj*] PUNC</v>
      </c>
      <c r="AP3" s="2">
        <v>2</v>
      </c>
      <c r="AQ3" s="1">
        <f t="shared" si="2"/>
        <v>-0.47790407716929284</v>
      </c>
      <c r="AR3" s="1">
        <f t="shared" ref="AR3:AR50" si="23">(AQ3-AQ$56)/AQ$57</f>
        <v>-0.58508534615936958</v>
      </c>
      <c r="AS3" s="1"/>
    </row>
    <row r="4" spans="1:45" x14ac:dyDescent="0.2">
      <c r="A4" s="41"/>
      <c r="B4" t="s">
        <v>8</v>
      </c>
      <c r="C4" s="2">
        <v>316396</v>
      </c>
      <c r="D4" s="2">
        <v>33991</v>
      </c>
      <c r="E4" s="3" t="str">
        <f t="shared" si="0"/>
        <v>-very much small.[jj*] PUNC</v>
      </c>
      <c r="F4" s="2">
        <v>2</v>
      </c>
      <c r="G4" s="1">
        <f t="shared" si="3"/>
        <v>-1.1792249944522606</v>
      </c>
      <c r="H4" s="1">
        <f t="shared" si="4"/>
        <v>-1.2857302306528466</v>
      </c>
      <c r="I4" s="1"/>
      <c r="J4" s="1"/>
      <c r="K4" s="3" t="str">
        <f t="shared" si="1"/>
        <v>more small.[jj*] PUNC</v>
      </c>
      <c r="L4" s="2">
        <v>14</v>
      </c>
      <c r="M4" s="1">
        <f t="shared" si="5"/>
        <v>-0.74332349919026264</v>
      </c>
      <c r="N4" s="1">
        <f t="shared" si="6"/>
        <v>-1.0976472105031607</v>
      </c>
      <c r="O4" s="1"/>
      <c r="P4" s="3" t="str">
        <f t="shared" si="7"/>
        <v>less small.[jj*] PUNC</v>
      </c>
      <c r="Q4" s="2">
        <v>4</v>
      </c>
      <c r="R4" s="1">
        <f t="shared" si="8"/>
        <v>-0.45868709114142359</v>
      </c>
      <c r="S4" s="1">
        <f t="shared" si="9"/>
        <v>-1.2069334325960992</v>
      </c>
      <c r="T4" s="1"/>
      <c r="U4" s="3" t="str">
        <f t="shared" si="10"/>
        <v>small.[jj*] enough</v>
      </c>
      <c r="V4" s="2">
        <v>1493</v>
      </c>
      <c r="W4" s="1">
        <f t="shared" si="11"/>
        <v>1.0769176963240952</v>
      </c>
      <c r="X4" s="1">
        <f t="shared" si="12"/>
        <v>0.96450546829817796</v>
      </c>
      <c r="Y4" s="1"/>
      <c r="Z4" s="3" t="str">
        <f t="shared" si="13"/>
        <v>that.[r*] small.[jj*] PUNC</v>
      </c>
      <c r="AA4" s="12">
        <v>129</v>
      </c>
      <c r="AB4" s="1">
        <f t="shared" si="14"/>
        <v>1.5277196319433641</v>
      </c>
      <c r="AC4" s="1">
        <f t="shared" si="15"/>
        <v>0.48827880273052299</v>
      </c>
      <c r="AD4" s="1"/>
      <c r="AE4" s="3" t="str">
        <f t="shared" si="16"/>
        <v>-a little small.[jj*] PUNC</v>
      </c>
      <c r="AF4" s="2">
        <v>2</v>
      </c>
      <c r="AG4" s="1">
        <f t="shared" si="17"/>
        <v>-0.81357593630019487</v>
      </c>
      <c r="AH4" s="1">
        <f t="shared" si="18"/>
        <v>-1.3073132680820347</v>
      </c>
      <c r="AI4" s="1"/>
      <c r="AJ4" s="3" t="str">
        <f t="shared" si="19"/>
        <v>no small.[jj*] PUNC</v>
      </c>
      <c r="AK4" s="2">
        <v>10</v>
      </c>
      <c r="AL4" s="1">
        <f t="shared" si="20"/>
        <v>-0.71794297662712125</v>
      </c>
      <c r="AM4" s="1">
        <f t="shared" si="21"/>
        <v>-1.482828903425071</v>
      </c>
      <c r="AN4" s="1"/>
      <c r="AO4" s="3" t="str">
        <f t="shared" si="22"/>
        <v>any small.[jj*] PUNC</v>
      </c>
      <c r="AP4" s="2">
        <v>16</v>
      </c>
      <c r="AQ4" s="1">
        <f t="shared" si="2"/>
        <v>-0.32492543744909508</v>
      </c>
      <c r="AR4" s="1">
        <f t="shared" si="23"/>
        <v>-0.43491525594597868</v>
      </c>
      <c r="AS4" s="1"/>
    </row>
    <row r="5" spans="1:45" x14ac:dyDescent="0.2">
      <c r="A5" s="41"/>
      <c r="B5" t="s">
        <v>13</v>
      </c>
      <c r="C5" s="2">
        <v>198235</v>
      </c>
      <c r="D5" s="2">
        <v>17434</v>
      </c>
      <c r="E5" s="3" t="str">
        <f t="shared" si="0"/>
        <v>-very much hard.[jj*] PUNC</v>
      </c>
      <c r="F5" s="2">
        <v>2</v>
      </c>
      <c r="G5" s="1">
        <f t="shared" si="3"/>
        <v>-0.88925809458170502</v>
      </c>
      <c r="H5" s="1">
        <f t="shared" si="4"/>
        <v>-1.0337317630829936</v>
      </c>
      <c r="I5" s="1"/>
      <c r="J5" s="1"/>
      <c r="K5" s="3" t="str">
        <f t="shared" si="1"/>
        <v>more hard.[jj*] PUNC</v>
      </c>
      <c r="L5" s="2">
        <v>7</v>
      </c>
      <c r="M5" s="1">
        <f t="shared" si="5"/>
        <v>-0.75438659498368832</v>
      </c>
      <c r="N5" s="1">
        <f t="shared" si="6"/>
        <v>-1.1092932280760419</v>
      </c>
      <c r="O5" s="1"/>
      <c r="P5" s="3" t="str">
        <f t="shared" si="7"/>
        <v>less hard.[jj*] PUNC</v>
      </c>
      <c r="Q5" s="2">
        <v>10</v>
      </c>
      <c r="R5" s="1">
        <f t="shared" si="8"/>
        <v>0.22921981740116948</v>
      </c>
      <c r="S5" s="1">
        <f t="shared" si="9"/>
        <v>-0.47487521889999679</v>
      </c>
      <c r="T5" s="1"/>
      <c r="U5" s="3" t="str">
        <f t="shared" si="10"/>
        <v>hard.[jj*] enough</v>
      </c>
      <c r="V5" s="2">
        <v>239</v>
      </c>
      <c r="W5" s="1">
        <f t="shared" si="11"/>
        <v>0.48430643875081492</v>
      </c>
      <c r="X5" s="1">
        <f t="shared" si="12"/>
        <v>0.25793663064490585</v>
      </c>
      <c r="Y5" s="1"/>
      <c r="Z5" s="3" t="str">
        <f t="shared" si="13"/>
        <v>that.[r*] hard.[jj*] PUNC</v>
      </c>
      <c r="AA5" s="12">
        <v>216</v>
      </c>
      <c r="AB5" s="1">
        <f t="shared" si="14"/>
        <v>2.0415505726656016</v>
      </c>
      <c r="AC5" s="1">
        <f t="shared" si="15"/>
        <v>1.4554651261032836</v>
      </c>
      <c r="AD5" s="1"/>
      <c r="AE5" s="3" t="str">
        <f t="shared" si="16"/>
        <v>-a little hard.[jj*] PUNC</v>
      </c>
      <c r="AF5" s="2">
        <v>1</v>
      </c>
      <c r="AG5" s="1">
        <f t="shared" si="17"/>
        <v>-0.82463903209362055</v>
      </c>
      <c r="AH5" s="1">
        <f t="shared" si="18"/>
        <v>-1.336978880052313</v>
      </c>
      <c r="AI5" s="1"/>
      <c r="AJ5" s="3" t="str">
        <f t="shared" si="19"/>
        <v>no hard.[jj*] PUNC</v>
      </c>
      <c r="AK5" s="2">
        <v>6</v>
      </c>
      <c r="AL5" s="1">
        <f t="shared" si="20"/>
        <v>-0.6498248263729236</v>
      </c>
      <c r="AM5" s="1">
        <f t="shared" si="21"/>
        <v>-1.4103387877188365</v>
      </c>
      <c r="AN5" s="1"/>
      <c r="AO5" s="3" t="str">
        <f t="shared" si="22"/>
        <v>any hard.[jj*] PUNC</v>
      </c>
      <c r="AP5" s="2">
        <v>6</v>
      </c>
      <c r="AQ5" s="1">
        <f t="shared" si="2"/>
        <v>-0.46092726985082155</v>
      </c>
      <c r="AR5" s="1">
        <f t="shared" si="23"/>
        <v>-0.56842021767337225</v>
      </c>
      <c r="AS5" s="1"/>
    </row>
    <row r="6" spans="1:45" x14ac:dyDescent="0.2">
      <c r="A6" s="41"/>
      <c r="B6" t="s">
        <v>14</v>
      </c>
      <c r="C6" s="2">
        <v>273970</v>
      </c>
      <c r="D6" s="2">
        <v>26387</v>
      </c>
      <c r="E6" s="3" t="str">
        <f t="shared" si="0"/>
        <v>-very much young.[jj*] PUNC</v>
      </c>
      <c r="F6" s="2">
        <v>1</v>
      </c>
      <c r="G6" s="1">
        <f t="shared" si="3"/>
        <v>-1.3702810656631206</v>
      </c>
      <c r="H6" s="1">
        <f t="shared" si="4"/>
        <v>-1.4517693102393314</v>
      </c>
      <c r="I6" s="1"/>
      <c r="J6" s="1"/>
      <c r="K6" s="3" t="str">
        <f t="shared" si="1"/>
        <v>more young.[jj*] PUNC</v>
      </c>
      <c r="L6" s="2">
        <v>22</v>
      </c>
      <c r="M6" s="1">
        <f t="shared" si="5"/>
        <v>-0.43705492959317294</v>
      </c>
      <c r="N6" s="1">
        <f t="shared" si="6"/>
        <v>-0.77524114893144846</v>
      </c>
      <c r="O6" s="1"/>
      <c r="P6" s="3" t="str">
        <f t="shared" si="7"/>
        <v>less young.[jj*] PUNC</v>
      </c>
      <c r="Q6" s="2">
        <v>1</v>
      </c>
      <c r="R6" s="1">
        <f t="shared" si="8"/>
        <v>-0.95077315801626483</v>
      </c>
      <c r="S6" s="1">
        <f t="shared" si="9"/>
        <v>-1.7306026131605685</v>
      </c>
      <c r="T6" s="1"/>
      <c r="U6" s="3" t="str">
        <f t="shared" si="10"/>
        <v>young.[jj*] enough</v>
      </c>
      <c r="V6" s="2">
        <v>899</v>
      </c>
      <c r="W6" s="1">
        <f t="shared" si="11"/>
        <v>0.91914555494831207</v>
      </c>
      <c r="X6" s="1">
        <f t="shared" si="12"/>
        <v>0.77639416072287437</v>
      </c>
      <c r="Y6" s="1"/>
      <c r="Z6" s="3" t="str">
        <f t="shared" si="13"/>
        <v>that.[r*] young.[jj*] PUNC</v>
      </c>
      <c r="AA6" s="12">
        <v>146</v>
      </c>
      <c r="AB6" s="1">
        <f t="shared" si="14"/>
        <v>1.6914567018816737</v>
      </c>
      <c r="AC6" s="1">
        <f t="shared" si="15"/>
        <v>0.79648183630196667</v>
      </c>
      <c r="AD6" s="1"/>
      <c r="AE6" s="3" t="str">
        <f t="shared" si="16"/>
        <v>-a little young.[jj*] PUNC</v>
      </c>
      <c r="AF6" s="2">
        <v>6</v>
      </c>
      <c r="AG6" s="1">
        <f t="shared" si="17"/>
        <v>-0.22648075712741278</v>
      </c>
      <c r="AH6" s="1">
        <f t="shared" si="18"/>
        <v>0.26697824129010383</v>
      </c>
      <c r="AI6" s="1"/>
      <c r="AJ6" s="3" t="str">
        <f t="shared" si="19"/>
        <v>no young.[jj*] PUNC</v>
      </c>
      <c r="AK6" s="2">
        <v>6</v>
      </c>
      <c r="AL6" s="1">
        <f t="shared" si="20"/>
        <v>-0.82981780179035791</v>
      </c>
      <c r="AM6" s="1">
        <f t="shared" si="21"/>
        <v>-1.6018840890170789</v>
      </c>
      <c r="AN6" s="1"/>
      <c r="AO6" s="3" t="str">
        <f t="shared" si="22"/>
        <v>any young.[jj*] PUNC</v>
      </c>
      <c r="AP6" s="2">
        <v>14</v>
      </c>
      <c r="AQ6" s="1">
        <f t="shared" si="2"/>
        <v>-0.27294345997366065</v>
      </c>
      <c r="AR6" s="1">
        <f t="shared" si="23"/>
        <v>-0.38388762057653042</v>
      </c>
      <c r="AS6" s="1"/>
    </row>
    <row r="7" spans="1:45" x14ac:dyDescent="0.2">
      <c r="A7" s="41"/>
      <c r="B7" t="s">
        <v>11</v>
      </c>
      <c r="C7" s="2">
        <v>45415</v>
      </c>
      <c r="D7" s="2">
        <v>11792</v>
      </c>
      <c r="E7" s="3" t="str">
        <f t="shared" si="0"/>
        <v>-very much slow.[jj*] PUNC</v>
      </c>
      <c r="F7" s="2">
        <v>1</v>
      </c>
      <c r="G7" s="1">
        <f t="shared" si="3"/>
        <v>-1.0204785191110162</v>
      </c>
      <c r="H7" s="1">
        <f t="shared" si="4"/>
        <v>-1.1477701099081437</v>
      </c>
      <c r="I7" s="1"/>
      <c r="J7" s="1"/>
      <c r="K7" s="3" t="str">
        <f t="shared" si="1"/>
        <v>more slow.[jj*] PUNC</v>
      </c>
      <c r="L7" s="2">
        <v>9</v>
      </c>
      <c r="M7" s="1">
        <f t="shared" si="5"/>
        <v>-0.47543255442395171</v>
      </c>
      <c r="N7" s="1">
        <f t="shared" si="6"/>
        <v>-0.81564091600661914</v>
      </c>
      <c r="O7" s="1"/>
      <c r="P7" s="3" t="str">
        <f t="shared" si="7"/>
        <v>less slow.[jj*] PUNC</v>
      </c>
      <c r="Q7" s="2">
        <v>2</v>
      </c>
      <c r="R7" s="1">
        <f t="shared" si="8"/>
        <v>-0.29994061580017917</v>
      </c>
      <c r="S7" s="1">
        <f t="shared" si="9"/>
        <v>-1.0379982762170608</v>
      </c>
      <c r="T7" s="1"/>
      <c r="U7" s="3" t="str">
        <f t="shared" si="10"/>
        <v>slow.[jj*] enough</v>
      </c>
      <c r="V7" s="2">
        <v>45</v>
      </c>
      <c r="W7" s="1">
        <f t="shared" si="11"/>
        <v>0.39910206819237581</v>
      </c>
      <c r="X7" s="1">
        <f t="shared" si="12"/>
        <v>0.15634768460465864</v>
      </c>
      <c r="Y7" s="1"/>
      <c r="Z7" s="3" t="str">
        <f t="shared" si="13"/>
        <v>that.[r*] slow.[jj*] PUNC</v>
      </c>
      <c r="AA7" s="12">
        <v>19</v>
      </c>
      <c r="AB7" s="1">
        <f t="shared" si="14"/>
        <v>1.1556599936021699</v>
      </c>
      <c r="AC7" s="1">
        <f t="shared" si="15"/>
        <v>-0.21205075153262526</v>
      </c>
      <c r="AD7" s="1"/>
      <c r="AE7" s="3" t="str">
        <f t="shared" si="16"/>
        <v>-a little slow.[jj*] PUNC</v>
      </c>
      <c r="AF7" s="2">
        <v>3</v>
      </c>
      <c r="AG7" s="1">
        <f t="shared" si="17"/>
        <v>-0.17770820623928962</v>
      </c>
      <c r="AH7" s="1">
        <f t="shared" si="18"/>
        <v>0.39776148645620973</v>
      </c>
      <c r="AI7" s="1"/>
      <c r="AJ7" s="3" t="str">
        <f t="shared" si="19"/>
        <v>no slow.[jj*] PUNC</v>
      </c>
      <c r="AK7" s="2">
        <v>4</v>
      </c>
      <c r="AL7" s="1">
        <f t="shared" si="20"/>
        <v>-0.65610651429393307</v>
      </c>
      <c r="AM7" s="1">
        <f t="shared" si="21"/>
        <v>-1.4170236475179525</v>
      </c>
      <c r="AN7" s="1"/>
      <c r="AO7" s="3" t="str">
        <f t="shared" si="22"/>
        <v>any slow.[jj*] PUNC</v>
      </c>
      <c r="AP7" s="2">
        <v>0</v>
      </c>
      <c r="AQ7" s="1">
        <f t="shared" si="2"/>
        <v>-3.4473347941074066</v>
      </c>
      <c r="AR7" s="1">
        <f t="shared" si="23"/>
        <v>-3.5</v>
      </c>
      <c r="AS7" s="1"/>
    </row>
    <row r="8" spans="1:45" x14ac:dyDescent="0.2">
      <c r="A8" s="41"/>
      <c r="B8" t="s">
        <v>9</v>
      </c>
      <c r="C8" s="2">
        <v>382892</v>
      </c>
      <c r="D8" s="2">
        <v>39458</v>
      </c>
      <c r="E8" s="3" t="str">
        <f t="shared" si="0"/>
        <v>-very much high.[jj*] PUNC</v>
      </c>
      <c r="F8" s="2">
        <v>0</v>
      </c>
      <c r="G8" s="1">
        <f t="shared" si="3"/>
        <v>-3.7271172363632399</v>
      </c>
      <c r="H8" s="1">
        <f t="shared" si="4"/>
        <v>-3.5000000000000004</v>
      </c>
      <c r="I8" s="1"/>
      <c r="J8" s="1"/>
      <c r="K8" s="3" t="str">
        <f t="shared" si="1"/>
        <v>more high.[jj*] PUNC</v>
      </c>
      <c r="L8" s="2">
        <v>8</v>
      </c>
      <c r="M8" s="1">
        <f t="shared" si="5"/>
        <v>-1.0511326748301464</v>
      </c>
      <c r="N8" s="1">
        <f t="shared" si="6"/>
        <v>-1.4216750536613552</v>
      </c>
      <c r="O8" s="1"/>
      <c r="P8" s="3" t="str">
        <f t="shared" si="7"/>
        <v>less high.[jj*] PUNC</v>
      </c>
      <c r="Q8" s="2">
        <v>1</v>
      </c>
      <c r="R8" s="1">
        <f t="shared" si="8"/>
        <v>-1.1255182094229736</v>
      </c>
      <c r="S8" s="1">
        <f t="shared" si="9"/>
        <v>-1.9165631677013697</v>
      </c>
      <c r="T8" s="1"/>
      <c r="U8" s="3" t="str">
        <f t="shared" si="10"/>
        <v>high.[jj*] enough</v>
      </c>
      <c r="V8" s="2">
        <v>883</v>
      </c>
      <c r="W8" s="1">
        <f t="shared" si="11"/>
        <v>0.76597328406045184</v>
      </c>
      <c r="X8" s="1">
        <f t="shared" si="12"/>
        <v>0.59376726658466339</v>
      </c>
      <c r="Y8" s="1"/>
      <c r="Z8" s="3" t="str">
        <f t="shared" si="13"/>
        <v>that.[r*] high.[jj*] PUNC</v>
      </c>
      <c r="AA8" s="12">
        <v>408</v>
      </c>
      <c r="AB8" s="1">
        <f t="shared" si="14"/>
        <v>1.9630189577804082</v>
      </c>
      <c r="AC8" s="1">
        <f t="shared" si="15"/>
        <v>1.3076447092117389</v>
      </c>
      <c r="AD8" s="1"/>
      <c r="AE8" s="3" t="str">
        <f t="shared" si="16"/>
        <v>-a little high.[jj*] PUNC</v>
      </c>
      <c r="AF8" s="2">
        <v>9</v>
      </c>
      <c r="AG8" s="1">
        <f t="shared" si="17"/>
        <v>-0.22513454947844025</v>
      </c>
      <c r="AH8" s="1">
        <f t="shared" si="18"/>
        <v>0.27058808743909696</v>
      </c>
      <c r="AI8" s="1"/>
      <c r="AJ8" s="3" t="str">
        <f t="shared" si="19"/>
        <v>no high.[jj*] PUNC</v>
      </c>
      <c r="AK8" s="2">
        <v>5</v>
      </c>
      <c r="AL8" s="1">
        <f t="shared" si="20"/>
        <v>-1.0837440992446901</v>
      </c>
      <c r="AM8" s="1">
        <f t="shared" si="21"/>
        <v>-1.872107907700205</v>
      </c>
      <c r="AN8" s="1"/>
      <c r="AO8" s="3" t="str">
        <f t="shared" si="22"/>
        <v>any high.[jj*] PUNC</v>
      </c>
      <c r="AP8" s="2">
        <v>3</v>
      </c>
      <c r="AQ8" s="1">
        <f t="shared" si="2"/>
        <v>-1.1166952923389459</v>
      </c>
      <c r="AR8" s="1">
        <f t="shared" si="23"/>
        <v>-1.2121489321933561</v>
      </c>
      <c r="AS8" s="1"/>
    </row>
    <row r="9" spans="1:45" x14ac:dyDescent="0.2">
      <c r="A9" s="41">
        <v>2</v>
      </c>
      <c r="B9" t="s">
        <v>21</v>
      </c>
      <c r="C9" s="2">
        <v>64075</v>
      </c>
      <c r="D9" s="2">
        <v>18974</v>
      </c>
      <c r="E9" s="3" t="str">
        <f t="shared" si="0"/>
        <v>-very much dangerous.[jj*] PUNC</v>
      </c>
      <c r="F9" s="2">
        <v>0</v>
      </c>
      <c r="G9" s="1">
        <f t="shared" si="3"/>
        <v>-3.7271172363632399</v>
      </c>
      <c r="H9" s="1">
        <f t="shared" si="4"/>
        <v>-3.5000000000000004</v>
      </c>
      <c r="I9" s="1">
        <f>AVERAGE(H9:H15)</f>
        <v>-3.5000000000000004</v>
      </c>
      <c r="J9" s="1"/>
      <c r="K9" s="3" t="str">
        <f t="shared" si="1"/>
        <v>more dangerous.[jj*] PUNC</v>
      </c>
      <c r="L9" s="2">
        <v>924</v>
      </c>
      <c r="M9" s="1">
        <f t="shared" si="5"/>
        <v>1.3294254816271436</v>
      </c>
      <c r="N9" s="1">
        <f t="shared" si="6"/>
        <v>1.0843162747191597</v>
      </c>
      <c r="O9" s="1">
        <f>AVERAGE(N9:N15)</f>
        <v>1.0538578967142003</v>
      </c>
      <c r="P9" s="3" t="str">
        <f t="shared" si="7"/>
        <v>less dangerous.[jj*] PUNC</v>
      </c>
      <c r="Q9" s="2">
        <v>146</v>
      </c>
      <c r="R9" s="1">
        <f t="shared" si="8"/>
        <v>1.3568108185905885</v>
      </c>
      <c r="S9" s="1">
        <f t="shared" si="9"/>
        <v>0.72508693275124747</v>
      </c>
      <c r="T9" s="1">
        <f>AVERAGE(S9:S15)</f>
        <v>1.1145289484745842</v>
      </c>
      <c r="U9" s="3" t="str">
        <f t="shared" si="10"/>
        <v>dangerous.[jj*] enough</v>
      </c>
      <c r="V9" s="2">
        <v>103</v>
      </c>
      <c r="W9" s="1">
        <f t="shared" si="11"/>
        <v>0.60923748279032308</v>
      </c>
      <c r="X9" s="1">
        <f t="shared" si="12"/>
        <v>0.40689158458094304</v>
      </c>
      <c r="Y9" s="1">
        <f>AVERAGE(X9:X15)</f>
        <v>1.1958644895878334</v>
      </c>
      <c r="Z9" s="3" t="str">
        <f t="shared" si="13"/>
        <v>that.[r*] dangerous.[jj*] PUNC</v>
      </c>
      <c r="AA9" s="12">
        <v>99</v>
      </c>
      <c r="AB9" s="1">
        <f t="shared" si="14"/>
        <v>1.6659701615172033</v>
      </c>
      <c r="AC9" s="1">
        <f t="shared" si="15"/>
        <v>0.74850840512642214</v>
      </c>
      <c r="AD9" s="1">
        <f>AVERAGE(AC9:AC15)</f>
        <v>0.58595625367718618</v>
      </c>
      <c r="AE9" s="3" t="str">
        <f t="shared" si="16"/>
        <v>-a little dangerous.[jj*] PUNC</v>
      </c>
      <c r="AF9" s="2">
        <v>2</v>
      </c>
      <c r="AG9" s="1">
        <f t="shared" si="17"/>
        <v>-0.56037089102465654</v>
      </c>
      <c r="AH9" s="1">
        <f t="shared" si="18"/>
        <v>-0.62834575642724311</v>
      </c>
      <c r="AI9" s="1">
        <f>AVERAGE(AH9:AH15)</f>
        <v>-2.7557217663517797</v>
      </c>
      <c r="AJ9" s="3" t="str">
        <f t="shared" si="19"/>
        <v>no dangerous.[jj*] PUNC</v>
      </c>
      <c r="AK9" s="2">
        <v>1</v>
      </c>
      <c r="AL9" s="1">
        <f t="shared" si="20"/>
        <v>-1.4647379313515829</v>
      </c>
      <c r="AM9" s="1">
        <f t="shared" si="21"/>
        <v>-2.2775547213574567</v>
      </c>
      <c r="AN9" s="1">
        <f>AVERAGE(AM9:AM15)</f>
        <v>-2.9576332853744418</v>
      </c>
      <c r="AO9" s="3" t="str">
        <f t="shared" si="22"/>
        <v>any dangerous.[jj*] PUNC</v>
      </c>
      <c r="AP9" s="2">
        <v>2</v>
      </c>
      <c r="AQ9" s="1">
        <f t="shared" si="2"/>
        <v>-0.97481037916549962</v>
      </c>
      <c r="AR9" s="1">
        <f t="shared" si="23"/>
        <v>-1.0728688977379155</v>
      </c>
      <c r="AS9" s="1">
        <f>AVERAGE(AR9:AR15)</f>
        <v>-1.9263983550750601</v>
      </c>
    </row>
    <row r="10" spans="1:45" x14ac:dyDescent="0.2">
      <c r="A10" s="41"/>
      <c r="B10" t="s">
        <v>18</v>
      </c>
      <c r="C10" s="2">
        <v>10692</v>
      </c>
      <c r="D10" s="2">
        <v>2091</v>
      </c>
      <c r="E10" s="3" t="str">
        <f t="shared" si="0"/>
        <v>-very much fortunate.[jj*] PUNC</v>
      </c>
      <c r="F10" s="2">
        <v>0</v>
      </c>
      <c r="G10" s="1">
        <f t="shared" si="3"/>
        <v>-3.7271172363632399</v>
      </c>
      <c r="H10" s="1">
        <f t="shared" si="4"/>
        <v>-3.5000000000000004</v>
      </c>
      <c r="I10" s="1"/>
      <c r="J10" s="1"/>
      <c r="K10" s="3" t="str">
        <f t="shared" si="1"/>
        <v>more fortunate.[jj*] PUNC</v>
      </c>
      <c r="L10" s="2">
        <v>50</v>
      </c>
      <c r="M10" s="1">
        <f t="shared" si="5"/>
        <v>1.0205283781700478</v>
      </c>
      <c r="N10" s="1">
        <f t="shared" si="6"/>
        <v>0.75914318011292037</v>
      </c>
      <c r="O10" s="1"/>
      <c r="P10" s="3" t="str">
        <f t="shared" si="7"/>
        <v>less fortunate.[jj*] PUNC</v>
      </c>
      <c r="Q10" s="2">
        <v>566</v>
      </c>
      <c r="R10" s="1">
        <f t="shared" si="8"/>
        <v>2.9030792574214148</v>
      </c>
      <c r="S10" s="1">
        <f t="shared" si="9"/>
        <v>2.3705981162678298</v>
      </c>
      <c r="T10" s="1"/>
      <c r="U10" s="3" t="str">
        <f t="shared" si="10"/>
        <v>fortunate.[jj*] enough</v>
      </c>
      <c r="V10" s="2">
        <v>1383</v>
      </c>
      <c r="W10" s="1">
        <f t="shared" si="11"/>
        <v>2.5148521029662434</v>
      </c>
      <c r="X10" s="1">
        <f t="shared" si="12"/>
        <v>2.678950864565655</v>
      </c>
      <c r="Y10" s="1"/>
      <c r="Z10" s="3" t="str">
        <f t="shared" si="13"/>
        <v>that.[r*] fortunate.[jj*] PUNC</v>
      </c>
      <c r="AA10" s="12">
        <v>11</v>
      </c>
      <c r="AB10" s="1">
        <f t="shared" si="14"/>
        <v>1.6695325155048701</v>
      </c>
      <c r="AC10" s="1">
        <f t="shared" si="15"/>
        <v>0.75521384028577787</v>
      </c>
      <c r="AD10" s="1"/>
      <c r="AE10" s="3" t="str">
        <f t="shared" si="16"/>
        <v>-a little fortunate.[jj*] PUNC</v>
      </c>
      <c r="AF10" s="2">
        <v>0</v>
      </c>
      <c r="AG10" s="1">
        <f t="shared" si="17"/>
        <v>-1.6312871429486822</v>
      </c>
      <c r="AH10" s="1">
        <f t="shared" si="18"/>
        <v>-3.5000000000000004</v>
      </c>
      <c r="AI10" s="1"/>
      <c r="AJ10" s="3" t="str">
        <f t="shared" si="19"/>
        <v>no fortunate.[jj*] PUNC</v>
      </c>
      <c r="AK10" s="2">
        <v>0</v>
      </c>
      <c r="AL10" s="1">
        <f t="shared" si="20"/>
        <v>-2.6134560752922145</v>
      </c>
      <c r="AM10" s="1">
        <f t="shared" si="21"/>
        <v>-3.5</v>
      </c>
      <c r="AN10" s="1"/>
      <c r="AO10" s="3" t="str">
        <f t="shared" si="22"/>
        <v>any fortunate.[jj*] PUNC</v>
      </c>
      <c r="AP10" s="2">
        <v>0</v>
      </c>
      <c r="AQ10" s="1">
        <f t="shared" si="2"/>
        <v>-3.4473347941074066</v>
      </c>
      <c r="AR10" s="1">
        <f t="shared" si="23"/>
        <v>-3.5</v>
      </c>
      <c r="AS10" s="1"/>
    </row>
    <row r="11" spans="1:45" x14ac:dyDescent="0.2">
      <c r="A11" s="41"/>
      <c r="B11" t="s">
        <v>19</v>
      </c>
      <c r="C11" s="2">
        <v>16095</v>
      </c>
      <c r="D11" s="2">
        <v>3129</v>
      </c>
      <c r="E11" s="3" t="str">
        <f t="shared" si="0"/>
        <v>-very much generous.[jj*] PUNC</v>
      </c>
      <c r="F11" s="2">
        <v>0</v>
      </c>
      <c r="G11" s="1">
        <f t="shared" si="3"/>
        <v>-3.7271172363632399</v>
      </c>
      <c r="H11" s="1">
        <f t="shared" si="4"/>
        <v>-3.5000000000000004</v>
      </c>
      <c r="I11" s="1"/>
      <c r="J11" s="1"/>
      <c r="K11" s="3" t="str">
        <f t="shared" si="1"/>
        <v>more generous.[jj*] PUNC</v>
      </c>
      <c r="L11" s="2">
        <v>139</v>
      </c>
      <c r="M11" s="1">
        <f t="shared" si="5"/>
        <v>1.2895216437596027</v>
      </c>
      <c r="N11" s="1">
        <f t="shared" si="6"/>
        <v>1.0423098774404742</v>
      </c>
      <c r="O11" s="1"/>
      <c r="P11" s="3" t="str">
        <f t="shared" si="7"/>
        <v>less generous.[jj*] PUNC</v>
      </c>
      <c r="Q11" s="2">
        <v>44</v>
      </c>
      <c r="R11" s="1">
        <f t="shared" si="8"/>
        <v>1.6186639723908094</v>
      </c>
      <c r="S11" s="1">
        <f t="shared" si="9"/>
        <v>1.0037463700111533</v>
      </c>
      <c r="T11" s="1"/>
      <c r="U11" s="3" t="str">
        <f t="shared" si="10"/>
        <v>generous.[jj*] enough</v>
      </c>
      <c r="V11" s="2">
        <v>134</v>
      </c>
      <c r="W11" s="1">
        <f t="shared" si="11"/>
        <v>1.323502690284609</v>
      </c>
      <c r="X11" s="1">
        <f t="shared" si="12"/>
        <v>1.258508105505715</v>
      </c>
      <c r="Y11" s="1"/>
      <c r="Z11" s="3" t="str">
        <f t="shared" si="13"/>
        <v>that.[r*] generous.[jj*] PUNC</v>
      </c>
      <c r="AA11" s="12">
        <v>20</v>
      </c>
      <c r="AB11" s="1">
        <f t="shared" si="14"/>
        <v>1.7541182956821051</v>
      </c>
      <c r="AC11" s="1">
        <f t="shared" si="15"/>
        <v>0.91443004012038598</v>
      </c>
      <c r="AD11" s="1"/>
      <c r="AE11" s="3" t="str">
        <f t="shared" si="16"/>
        <v>-a little generous.[jj*] PUNC</v>
      </c>
      <c r="AF11" s="2">
        <v>0</v>
      </c>
      <c r="AG11" s="1">
        <f t="shared" si="17"/>
        <v>-1.6312871429486822</v>
      </c>
      <c r="AH11" s="1">
        <f t="shared" si="18"/>
        <v>-3.5000000000000004</v>
      </c>
      <c r="AI11" s="1"/>
      <c r="AJ11" s="3" t="str">
        <f t="shared" si="19"/>
        <v>no generous.[jj*] PUNC</v>
      </c>
      <c r="AK11" s="2">
        <v>0</v>
      </c>
      <c r="AL11" s="1">
        <f t="shared" si="20"/>
        <v>-2.6134560752922145</v>
      </c>
      <c r="AM11" s="1">
        <f t="shared" si="21"/>
        <v>-3.5</v>
      </c>
      <c r="AN11" s="1"/>
      <c r="AO11" s="3" t="str">
        <f t="shared" si="22"/>
        <v>any generous.[jj*] PUNC</v>
      </c>
      <c r="AP11" s="2">
        <v>1</v>
      </c>
      <c r="AQ11" s="1">
        <f t="shared" si="2"/>
        <v>-0.4930870417310107</v>
      </c>
      <c r="AR11" s="1">
        <f t="shared" si="23"/>
        <v>-0.59998956521969149</v>
      </c>
      <c r="AS11" s="1"/>
    </row>
    <row r="12" spans="1:45" x14ac:dyDescent="0.2">
      <c r="A12" s="41"/>
      <c r="B12" t="s">
        <v>22</v>
      </c>
      <c r="C12" s="2">
        <v>11259</v>
      </c>
      <c r="D12" s="2">
        <v>4092</v>
      </c>
      <c r="E12" s="3" t="str">
        <f t="shared" si="0"/>
        <v>-very much embarrassing.[jj*] PUNC</v>
      </c>
      <c r="F12" s="2">
        <v>0</v>
      </c>
      <c r="G12" s="1">
        <f t="shared" si="3"/>
        <v>-3.7271172363632399</v>
      </c>
      <c r="H12" s="1">
        <f t="shared" si="4"/>
        <v>-3.5000000000000004</v>
      </c>
      <c r="I12" s="1"/>
      <c r="J12" s="1"/>
      <c r="K12" s="3" t="str">
        <f t="shared" si="1"/>
        <v>more embarrassing.[jj*] PUNC</v>
      </c>
      <c r="L12" s="2">
        <v>47</v>
      </c>
      <c r="M12" s="1">
        <f t="shared" si="5"/>
        <v>0.70207463954729654</v>
      </c>
      <c r="N12" s="1">
        <f t="shared" si="6"/>
        <v>0.42390990496092662</v>
      </c>
      <c r="O12" s="1"/>
      <c r="P12" s="3" t="str">
        <f t="shared" si="7"/>
        <v>less embarrassing.[jj*] PUNC</v>
      </c>
      <c r="Q12" s="2">
        <v>26</v>
      </c>
      <c r="R12" s="1">
        <f t="shared" si="8"/>
        <v>1.2736545819815106</v>
      </c>
      <c r="S12" s="1">
        <f t="shared" si="9"/>
        <v>0.63659355483372837</v>
      </c>
      <c r="T12" s="1"/>
      <c r="U12" s="3" t="str">
        <f t="shared" si="10"/>
        <v>embarrassing.[jj*] enough</v>
      </c>
      <c r="V12" s="2">
        <v>37</v>
      </c>
      <c r="W12" s="1">
        <f t="shared" si="11"/>
        <v>0.91979077787568198</v>
      </c>
      <c r="X12" s="1">
        <f t="shared" si="12"/>
        <v>0.77716345831550848</v>
      </c>
      <c r="Y12" s="1"/>
      <c r="Z12" s="3" t="str">
        <f t="shared" si="13"/>
        <v>that.[r*] embarrassing.[jj*] PUNC</v>
      </c>
      <c r="AA12" s="12">
        <v>9</v>
      </c>
      <c r="AB12" s="1">
        <f t="shared" si="14"/>
        <v>1.2908007475635195</v>
      </c>
      <c r="AC12" s="1">
        <f t="shared" si="15"/>
        <v>4.2325306043784337E-2</v>
      </c>
      <c r="AD12" s="1"/>
      <c r="AE12" s="3" t="str">
        <f t="shared" si="16"/>
        <v>-a little embarrassing.[jj*] PUNC</v>
      </c>
      <c r="AF12" s="2">
        <v>0</v>
      </c>
      <c r="AG12" s="1">
        <f t="shared" si="17"/>
        <v>-1.6312871429486822</v>
      </c>
      <c r="AH12" s="1">
        <f t="shared" si="18"/>
        <v>-3.5000000000000004</v>
      </c>
      <c r="AI12" s="1"/>
      <c r="AJ12" s="3" t="str">
        <f t="shared" si="19"/>
        <v>no embarrassing.[jj*] PUNC</v>
      </c>
      <c r="AK12" s="2">
        <v>0</v>
      </c>
      <c r="AL12" s="1">
        <f t="shared" si="20"/>
        <v>-2.6134560752922145</v>
      </c>
      <c r="AM12" s="1">
        <f t="shared" si="21"/>
        <v>-3.5</v>
      </c>
      <c r="AN12" s="1"/>
      <c r="AO12" s="3" t="str">
        <f t="shared" si="22"/>
        <v>any embarrassing.[jj*] PUNC</v>
      </c>
      <c r="AP12" s="2">
        <v>0</v>
      </c>
      <c r="AQ12" s="1">
        <f t="shared" si="2"/>
        <v>-3.4473347941074066</v>
      </c>
      <c r="AR12" s="1">
        <f t="shared" si="23"/>
        <v>-3.5</v>
      </c>
      <c r="AS12" s="1"/>
    </row>
    <row r="13" spans="1:45" x14ac:dyDescent="0.2">
      <c r="A13" s="41"/>
      <c r="B13" t="s">
        <v>17</v>
      </c>
      <c r="C13" s="2">
        <v>20703</v>
      </c>
      <c r="D13" s="2">
        <v>5093</v>
      </c>
      <c r="E13" s="3" t="str">
        <f t="shared" si="0"/>
        <v>-very much intelligent.[jj*] PUNC</v>
      </c>
      <c r="F13" s="2">
        <v>0</v>
      </c>
      <c r="G13" s="1">
        <f t="shared" si="3"/>
        <v>-3.7271172363632399</v>
      </c>
      <c r="H13" s="1">
        <f t="shared" si="4"/>
        <v>-3.5000000000000004</v>
      </c>
      <c r="I13" s="1"/>
      <c r="J13" s="1"/>
      <c r="K13" s="3" t="str">
        <f t="shared" si="1"/>
        <v>more intelligent.[jj*] PUNC</v>
      </c>
      <c r="L13" s="2">
        <v>220</v>
      </c>
      <c r="M13" s="1">
        <f t="shared" si="5"/>
        <v>1.2773614112977292</v>
      </c>
      <c r="N13" s="1">
        <f t="shared" si="6"/>
        <v>1.0295089143478959</v>
      </c>
      <c r="O13" s="1"/>
      <c r="P13" s="3" t="str">
        <f t="shared" si="7"/>
        <v>less intelligent.[jj*] PUNC</v>
      </c>
      <c r="Q13" s="2">
        <v>65</v>
      </c>
      <c r="R13" s="1">
        <f t="shared" si="8"/>
        <v>1.5765565395174921</v>
      </c>
      <c r="S13" s="1">
        <f t="shared" si="9"/>
        <v>0.95893639396675567</v>
      </c>
      <c r="T13" s="1"/>
      <c r="U13" s="3" t="str">
        <f t="shared" si="10"/>
        <v>intelligent.[jj*] enough</v>
      </c>
      <c r="V13" s="2">
        <v>337</v>
      </c>
      <c r="W13" s="1">
        <f t="shared" si="11"/>
        <v>1.6146854916871098</v>
      </c>
      <c r="X13" s="1">
        <f t="shared" si="12"/>
        <v>1.6056845907687334</v>
      </c>
      <c r="Y13" s="1"/>
      <c r="Z13" s="3" t="str">
        <f t="shared" si="13"/>
        <v>that.[r*] intelligent.[jj*] PUNC</v>
      </c>
      <c r="AA13" s="12">
        <v>19</v>
      </c>
      <c r="AB13" s="1">
        <f t="shared" si="14"/>
        <v>1.5202737879409676</v>
      </c>
      <c r="AC13" s="1">
        <f t="shared" si="15"/>
        <v>0.47426345660332669</v>
      </c>
      <c r="AD13" s="1"/>
      <c r="AE13" s="3" t="str">
        <f t="shared" si="16"/>
        <v>-a little intelligent.[jj*] PUNC</v>
      </c>
      <c r="AF13" s="2">
        <v>0</v>
      </c>
      <c r="AG13" s="1">
        <f t="shared" si="17"/>
        <v>-1.6312871429486822</v>
      </c>
      <c r="AH13" s="1">
        <f t="shared" si="18"/>
        <v>-3.5000000000000004</v>
      </c>
      <c r="AI13" s="1"/>
      <c r="AJ13" s="3" t="str">
        <f t="shared" si="19"/>
        <v>no intelligent.[jj*] PUNC</v>
      </c>
      <c r="AK13" s="2">
        <v>5</v>
      </c>
      <c r="AL13" s="1">
        <f t="shared" si="20"/>
        <v>-0.19458270694707913</v>
      </c>
      <c r="AM13" s="1">
        <f t="shared" si="21"/>
        <v>-0.9258782762636345</v>
      </c>
      <c r="AN13" s="1"/>
      <c r="AO13" s="3" t="str">
        <f t="shared" si="22"/>
        <v>any intelligent.[jj*] PUNC</v>
      </c>
      <c r="AP13" s="2">
        <v>6</v>
      </c>
      <c r="AQ13" s="1">
        <f t="shared" si="2"/>
        <v>7.3496095622646251E-2</v>
      </c>
      <c r="AR13" s="1">
        <f t="shared" si="23"/>
        <v>-4.3808381981263703E-2</v>
      </c>
      <c r="AS13" s="1"/>
    </row>
    <row r="14" spans="1:45" x14ac:dyDescent="0.2">
      <c r="A14" s="41"/>
      <c r="B14" t="s">
        <v>20</v>
      </c>
      <c r="C14" s="2">
        <v>50748</v>
      </c>
      <c r="D14" s="2">
        <v>14998</v>
      </c>
      <c r="E14" s="3" t="str">
        <f t="shared" si="0"/>
        <v>-very much expensive.[jj*] PUNC</v>
      </c>
      <c r="F14" s="2">
        <v>0</v>
      </c>
      <c r="G14" s="1">
        <f t="shared" si="3"/>
        <v>-3.7271172363632399</v>
      </c>
      <c r="H14" s="1">
        <f t="shared" si="4"/>
        <v>-3.5000000000000004</v>
      </c>
      <c r="I14" s="1"/>
      <c r="J14" s="1"/>
      <c r="K14" s="3" t="str">
        <f t="shared" si="1"/>
        <v>more expensive.[jj*] PUNC</v>
      </c>
      <c r="L14" s="2">
        <v>1814</v>
      </c>
      <c r="M14" s="1">
        <f t="shared" si="5"/>
        <v>1.7245163401117547</v>
      </c>
      <c r="N14" s="1">
        <f t="shared" si="6"/>
        <v>1.5002247298851077</v>
      </c>
      <c r="O14" s="1"/>
      <c r="P14" s="3" t="str">
        <f t="shared" si="7"/>
        <v>less expensive.[jj*] PUNC</v>
      </c>
      <c r="Q14" s="2">
        <v>652</v>
      </c>
      <c r="R14" s="1">
        <f t="shared" si="8"/>
        <v>2.1088311055187132</v>
      </c>
      <c r="S14" s="1">
        <f t="shared" si="9"/>
        <v>1.5253734556445506</v>
      </c>
      <c r="T14" s="1"/>
      <c r="U14" s="3" t="str">
        <f t="shared" si="10"/>
        <v>expensive.[jj*] enough</v>
      </c>
      <c r="V14" s="2">
        <v>59</v>
      </c>
      <c r="W14" s="1">
        <f t="shared" si="11"/>
        <v>0.46852195338905256</v>
      </c>
      <c r="X14" s="1">
        <f t="shared" si="12"/>
        <v>0.23911683042598003</v>
      </c>
      <c r="Y14" s="1"/>
      <c r="Z14" s="3" t="str">
        <f t="shared" si="13"/>
        <v>that.[r*] expensive.[jj*] PUNC</v>
      </c>
      <c r="AA14" s="12">
        <v>118</v>
      </c>
      <c r="AB14" s="1">
        <f t="shared" si="14"/>
        <v>1.8443425212064208</v>
      </c>
      <c r="AC14" s="1">
        <f t="shared" si="15"/>
        <v>1.0842595113495037</v>
      </c>
      <c r="AD14" s="1"/>
      <c r="AE14" s="3" t="str">
        <f t="shared" si="16"/>
        <v>-a little expensive.[jj*] PUNC</v>
      </c>
      <c r="AF14" s="2">
        <v>1</v>
      </c>
      <c r="AG14" s="1">
        <f t="shared" si="17"/>
        <v>-0.75927533970799654</v>
      </c>
      <c r="AH14" s="1">
        <f t="shared" si="18"/>
        <v>-1.1617066080352125</v>
      </c>
      <c r="AI14" s="1"/>
      <c r="AJ14" s="3" t="str">
        <f t="shared" si="19"/>
        <v>no expensive.[jj*] PUNC</v>
      </c>
      <c r="AK14" s="2">
        <v>0</v>
      </c>
      <c r="AL14" s="1">
        <f t="shared" si="20"/>
        <v>-2.6134560752922145</v>
      </c>
      <c r="AM14" s="1">
        <f t="shared" si="21"/>
        <v>-3.5</v>
      </c>
      <c r="AN14" s="1"/>
      <c r="AO14" s="3" t="str">
        <f t="shared" si="22"/>
        <v>any expensive.[jj*] PUNC</v>
      </c>
      <c r="AP14" s="2">
        <v>1</v>
      </c>
      <c r="AQ14" s="1">
        <f t="shared" si="2"/>
        <v>-1.1737148278488396</v>
      </c>
      <c r="AR14" s="1">
        <f t="shared" si="23"/>
        <v>-1.2681216405865519</v>
      </c>
      <c r="AS14" s="1"/>
    </row>
    <row r="15" spans="1:45" x14ac:dyDescent="0.2">
      <c r="A15" s="41"/>
      <c r="B15" t="s">
        <v>23</v>
      </c>
      <c r="C15" s="2">
        <v>49537</v>
      </c>
      <c r="D15" s="2">
        <v>10819</v>
      </c>
      <c r="E15" s="3" t="str">
        <f t="shared" si="0"/>
        <v>-very much comfortable.[jj*] PUNC</v>
      </c>
      <c r="F15" s="2">
        <v>0</v>
      </c>
      <c r="G15" s="1">
        <f t="shared" si="3"/>
        <v>-3.7271172363632399</v>
      </c>
      <c r="H15" s="1">
        <f t="shared" si="4"/>
        <v>-3.5000000000000004</v>
      </c>
      <c r="I15" s="1"/>
      <c r="J15" s="1"/>
      <c r="K15" s="3" t="str">
        <f t="shared" si="1"/>
        <v>more comfortable.[jj*] PUNC</v>
      </c>
      <c r="L15" s="2">
        <v>1420</v>
      </c>
      <c r="M15" s="1">
        <f t="shared" si="5"/>
        <v>1.7600136302413047</v>
      </c>
      <c r="N15" s="1">
        <f t="shared" si="6"/>
        <v>1.5375923955329163</v>
      </c>
      <c r="O15" s="1"/>
      <c r="P15" s="3" t="str">
        <f t="shared" si="7"/>
        <v>less comfortable.[jj*] PUNC</v>
      </c>
      <c r="Q15" s="2">
        <v>61</v>
      </c>
      <c r="R15" s="1">
        <f t="shared" si="8"/>
        <v>1.2217595732681295</v>
      </c>
      <c r="S15" s="1">
        <f t="shared" si="9"/>
        <v>0.58136781584682407</v>
      </c>
      <c r="T15" s="1"/>
      <c r="U15" s="3" t="str">
        <f t="shared" si="10"/>
        <v>comfortable.[jj*] enough</v>
      </c>
      <c r="V15" s="2">
        <v>547</v>
      </c>
      <c r="W15" s="1">
        <f t="shared" si="11"/>
        <v>1.4461464974468607</v>
      </c>
      <c r="X15" s="1">
        <f t="shared" si="12"/>
        <v>1.4047359929522991</v>
      </c>
      <c r="Y15" s="1"/>
      <c r="Z15" s="3" t="str">
        <f t="shared" si="13"/>
        <v>that.[r*] comfortable.[jj*] PUNC</v>
      </c>
      <c r="AA15" s="12">
        <v>25</v>
      </c>
      <c r="AB15" s="1">
        <f t="shared" si="14"/>
        <v>1.3122467510429021</v>
      </c>
      <c r="AC15" s="1">
        <f t="shared" si="15"/>
        <v>8.2693216211101844E-2</v>
      </c>
      <c r="AD15" s="1"/>
      <c r="AE15" s="3" t="str">
        <f t="shared" si="16"/>
        <v>-a little comfortable.[jj*] PUNC</v>
      </c>
      <c r="AF15" s="2">
        <v>0</v>
      </c>
      <c r="AG15" s="1">
        <f t="shared" si="17"/>
        <v>-1.6312871429486822</v>
      </c>
      <c r="AH15" s="1">
        <f t="shared" si="18"/>
        <v>-3.5000000000000004</v>
      </c>
      <c r="AI15" s="1"/>
      <c r="AJ15" s="3" t="str">
        <f t="shared" si="19"/>
        <v>no comfortable.[jj*] PUNC</v>
      </c>
      <c r="AK15" s="2">
        <v>0</v>
      </c>
      <c r="AL15" s="1">
        <f t="shared" si="20"/>
        <v>-2.6134560752922145</v>
      </c>
      <c r="AM15" s="1">
        <f t="shared" si="21"/>
        <v>-3.5</v>
      </c>
      <c r="AN15" s="1"/>
      <c r="AO15" s="3" t="str">
        <f t="shared" si="22"/>
        <v>any comfortable.[jj*] PUNC</v>
      </c>
      <c r="AP15" s="2">
        <v>0</v>
      </c>
      <c r="AQ15" s="1">
        <f t="shared" si="2"/>
        <v>-3.4473347941074066</v>
      </c>
      <c r="AR15" s="1">
        <f t="shared" si="23"/>
        <v>-3.5</v>
      </c>
      <c r="AS15" s="1"/>
    </row>
    <row r="16" spans="1:45" x14ac:dyDescent="0.2">
      <c r="A16" s="41">
        <v>3</v>
      </c>
      <c r="B16" t="s">
        <v>30</v>
      </c>
      <c r="C16" s="2">
        <v>55200</v>
      </c>
      <c r="D16" s="2">
        <v>8909</v>
      </c>
      <c r="E16" s="3" t="str">
        <f t="shared" si="0"/>
        <v>-very much younger.[jj*] PUNC</v>
      </c>
      <c r="F16" s="2">
        <v>374</v>
      </c>
      <c r="G16" s="1">
        <f t="shared" si="3"/>
        <v>1.6741515946691261</v>
      </c>
      <c r="H16" s="1">
        <f t="shared" si="4"/>
        <v>1.1940235901428169</v>
      </c>
      <c r="I16" s="1">
        <f>AVERAGE(H16:H22)</f>
        <v>1.3971270737039772</v>
      </c>
      <c r="J16" s="1"/>
      <c r="K16" s="3" t="str">
        <f t="shared" si="1"/>
        <v>more younger.[jj*] PUNC</v>
      </c>
      <c r="L16" s="2">
        <v>10</v>
      </c>
      <c r="M16" s="1">
        <f t="shared" si="5"/>
        <v>-0.30791655228361225</v>
      </c>
      <c r="N16" s="1">
        <f t="shared" si="6"/>
        <v>-0.63929838575170073</v>
      </c>
      <c r="O16" s="1">
        <f>AVERAGE(N16:N22)</f>
        <v>-0.75842454469092302</v>
      </c>
      <c r="P16" s="3" t="str">
        <f t="shared" si="7"/>
        <v>less younger.[jj*] PUNC</v>
      </c>
      <c r="Q16" s="2">
        <v>0</v>
      </c>
      <c r="R16" s="1">
        <f t="shared" si="8"/>
        <v>-2.6134560752922145</v>
      </c>
      <c r="S16" s="1">
        <f t="shared" si="9"/>
        <v>-3.5</v>
      </c>
      <c r="T16" s="1">
        <f>AVERAGE(S16:S22)</f>
        <v>-3.5</v>
      </c>
      <c r="U16" s="3" t="str">
        <f t="shared" si="10"/>
        <v>younger.[jj*] enough</v>
      </c>
      <c r="V16" s="2">
        <v>0</v>
      </c>
      <c r="W16" s="1">
        <f t="shared" si="11"/>
        <v>-2.6675386949288646</v>
      </c>
      <c r="X16" s="1">
        <f t="shared" si="12"/>
        <v>-3.5</v>
      </c>
      <c r="Y16" s="1">
        <f>AVERAGE(X16:X22)</f>
        <v>-2.9994450044034235</v>
      </c>
      <c r="Z16" s="3" t="str">
        <f t="shared" si="13"/>
        <v>that.[r*] younger.[jj*] PUNC</v>
      </c>
      <c r="AA16" s="12">
        <v>0</v>
      </c>
      <c r="AB16" s="1">
        <f t="shared" si="14"/>
        <v>-0.59110793989748367</v>
      </c>
      <c r="AC16" s="1">
        <f t="shared" si="15"/>
        <v>-3.5</v>
      </c>
      <c r="AD16" s="1">
        <f>AVERAGE(AC16:AC22)</f>
        <v>-1.8474502769285286</v>
      </c>
      <c r="AE16" s="3" t="str">
        <f t="shared" si="16"/>
        <v>-a little younger.[jj*] PUNC</v>
      </c>
      <c r="AF16" s="2">
        <v>1</v>
      </c>
      <c r="AG16" s="1">
        <f t="shared" si="17"/>
        <v>-0.53307094937928756</v>
      </c>
      <c r="AH16" s="1">
        <f t="shared" si="18"/>
        <v>-0.55514115883675463</v>
      </c>
      <c r="AI16" s="1">
        <f>AVERAGE(AH16:AH22)</f>
        <v>-1.1557423198101204</v>
      </c>
      <c r="AJ16" s="3" t="str">
        <f t="shared" si="19"/>
        <v>no younger.[jj*] PUNC</v>
      </c>
      <c r="AK16" s="2">
        <v>14</v>
      </c>
      <c r="AL16" s="1">
        <f t="shared" si="20"/>
        <v>9.7200416360054831E-3</v>
      </c>
      <c r="AM16" s="1">
        <f t="shared" si="21"/>
        <v>-0.70846294967853096</v>
      </c>
      <c r="AN16" s="1">
        <f>AVERAGE(AM16:AM22)</f>
        <v>-0.99518758083152647</v>
      </c>
      <c r="AO16" s="3" t="str">
        <f t="shared" si="22"/>
        <v>any younger.[jj*] PUNC</v>
      </c>
      <c r="AP16" s="2">
        <v>263</v>
      </c>
      <c r="AQ16" s="1">
        <f t="shared" si="2"/>
        <v>1.4724453109696265</v>
      </c>
      <c r="AR16" s="1">
        <f t="shared" si="23"/>
        <v>1.3294573906576574</v>
      </c>
      <c r="AS16" s="1">
        <f>AVERAGE(AR16:AR22)</f>
        <v>1.2280133869859391</v>
      </c>
    </row>
    <row r="17" spans="1:45" x14ac:dyDescent="0.2">
      <c r="A17" s="41"/>
      <c r="B17" t="s">
        <v>24</v>
      </c>
      <c r="C17" s="2">
        <v>55569</v>
      </c>
      <c r="D17" s="2">
        <v>8153</v>
      </c>
      <c r="E17" s="3" t="str">
        <f t="shared" si="0"/>
        <v>-very much bigger.[jj*] PUNC</v>
      </c>
      <c r="F17" s="2">
        <v>521</v>
      </c>
      <c r="G17" s="1">
        <f t="shared" si="3"/>
        <v>1.856629232379452</v>
      </c>
      <c r="H17" s="1">
        <f t="shared" si="4"/>
        <v>1.3526075012350718</v>
      </c>
      <c r="I17" s="1"/>
      <c r="J17" s="1"/>
      <c r="K17" s="3" t="str">
        <f t="shared" si="1"/>
        <v>more bigger.[jj*] PUNC</v>
      </c>
      <c r="L17" s="2">
        <v>2</v>
      </c>
      <c r="M17" s="1">
        <f t="shared" si="5"/>
        <v>-0.96837504000834862</v>
      </c>
      <c r="N17" s="1">
        <f t="shared" si="6"/>
        <v>-1.3345568647365607</v>
      </c>
      <c r="O17" s="1"/>
      <c r="P17" s="3" t="str">
        <f t="shared" si="7"/>
        <v>less bigger.[jj*] PUNC</v>
      </c>
      <c r="Q17" s="2">
        <v>0</v>
      </c>
      <c r="R17" s="1">
        <f t="shared" si="8"/>
        <v>-2.6134560752922145</v>
      </c>
      <c r="S17" s="1">
        <f t="shared" si="9"/>
        <v>-3.5</v>
      </c>
      <c r="T17" s="1"/>
      <c r="U17" s="3" t="str">
        <f t="shared" si="10"/>
        <v>bigger.[jj*] enough</v>
      </c>
      <c r="V17" s="2">
        <v>2</v>
      </c>
      <c r="W17" s="1">
        <f t="shared" si="11"/>
        <v>-1.0407137128409394</v>
      </c>
      <c r="X17" s="1">
        <f t="shared" si="12"/>
        <v>-1.5603408693817602</v>
      </c>
      <c r="Y17" s="1"/>
      <c r="Z17" s="3" t="str">
        <f t="shared" si="13"/>
        <v>that.[r*] bigger.[jj*] PUNC</v>
      </c>
      <c r="AA17" s="12">
        <v>2</v>
      </c>
      <c r="AB17" s="1">
        <f t="shared" si="14"/>
        <v>0.33820641650426886</v>
      </c>
      <c r="AC17" s="1">
        <f t="shared" si="15"/>
        <v>-1.7507473482185432</v>
      </c>
      <c r="AD17" s="1"/>
      <c r="AE17" s="3" t="str">
        <f t="shared" si="16"/>
        <v>-a little bigger.[jj*] PUNC</v>
      </c>
      <c r="AF17" s="2">
        <v>5</v>
      </c>
      <c r="AG17" s="1">
        <f t="shared" si="17"/>
        <v>0.20441057156801357</v>
      </c>
      <c r="AH17" s="1">
        <f t="shared" si="18"/>
        <v>1.4224102466816029</v>
      </c>
      <c r="AI17" s="1"/>
      <c r="AJ17" s="3" t="str">
        <f t="shared" si="19"/>
        <v>no bigger.[jj*] PUNC</v>
      </c>
      <c r="AK17" s="2">
        <v>13</v>
      </c>
      <c r="AL17" s="1">
        <f t="shared" si="20"/>
        <v>1.604687487588663E-2</v>
      </c>
      <c r="AM17" s="1">
        <f t="shared" si="21"/>
        <v>-0.7017300470394906</v>
      </c>
      <c r="AN17" s="1"/>
      <c r="AO17" s="3" t="str">
        <f t="shared" si="22"/>
        <v>any bigger.[jj*] PUNC</v>
      </c>
      <c r="AP17" s="2">
        <v>95</v>
      </c>
      <c r="AQ17" s="1">
        <f t="shared" si="2"/>
        <v>1.0687246843799985</v>
      </c>
      <c r="AR17" s="1">
        <f t="shared" si="23"/>
        <v>0.93314870974077113</v>
      </c>
      <c r="AS17" s="1"/>
    </row>
    <row r="18" spans="1:45" x14ac:dyDescent="0.2">
      <c r="A18" s="41"/>
      <c r="B18" t="s">
        <v>27</v>
      </c>
      <c r="C18" s="2">
        <v>5469</v>
      </c>
      <c r="D18" s="2">
        <v>665</v>
      </c>
      <c r="E18" s="3" t="str">
        <f t="shared" si="0"/>
        <v>-very much slower.[jj*] PUNC</v>
      </c>
      <c r="F18" s="2">
        <v>57</v>
      </c>
      <c r="G18" s="1">
        <f t="shared" si="3"/>
        <v>1.9841621617733454</v>
      </c>
      <c r="H18" s="1">
        <f t="shared" si="4"/>
        <v>1.4634411956543389</v>
      </c>
      <c r="I18" s="1"/>
      <c r="J18" s="1"/>
      <c r="K18" s="3" t="str">
        <f t="shared" si="1"/>
        <v>more slower.[jj*] PUNC</v>
      </c>
      <c r="L18" s="2">
        <v>1</v>
      </c>
      <c r="M18" s="1">
        <f t="shared" si="5"/>
        <v>-0.18090923865140329</v>
      </c>
      <c r="N18" s="1">
        <f t="shared" si="6"/>
        <v>-0.50559897339334936</v>
      </c>
      <c r="O18" s="1"/>
      <c r="P18" s="3" t="str">
        <f t="shared" si="7"/>
        <v>less slower.[jj*] PUNC</v>
      </c>
      <c r="Q18" s="2">
        <v>0</v>
      </c>
      <c r="R18" s="1">
        <f t="shared" si="8"/>
        <v>-2.6134560752922145</v>
      </c>
      <c r="S18" s="1">
        <f t="shared" si="9"/>
        <v>-3.5</v>
      </c>
      <c r="T18" s="1"/>
      <c r="U18" s="3" t="str">
        <f t="shared" si="10"/>
        <v>slower.[jj*] enough</v>
      </c>
      <c r="V18" s="2">
        <v>0</v>
      </c>
      <c r="W18" s="1">
        <f t="shared" si="11"/>
        <v>-2.6675386949288646</v>
      </c>
      <c r="X18" s="1">
        <f t="shared" si="12"/>
        <v>-3.5</v>
      </c>
      <c r="Y18" s="1"/>
      <c r="Z18" s="3" t="str">
        <f t="shared" si="13"/>
        <v>that.[r*] slower.[jj*] PUNC</v>
      </c>
      <c r="AA18" s="12">
        <v>1</v>
      </c>
      <c r="AB18" s="1">
        <f t="shared" si="14"/>
        <v>1.1256722178612142</v>
      </c>
      <c r="AC18" s="1">
        <f t="shared" si="15"/>
        <v>-0.26849687858806159</v>
      </c>
      <c r="AD18" s="1"/>
      <c r="AE18" s="3" t="str">
        <f t="shared" si="16"/>
        <v>-a little slower.[jj*] PUNC</v>
      </c>
      <c r="AF18" s="2">
        <v>0</v>
      </c>
      <c r="AG18" s="1">
        <f t="shared" si="17"/>
        <v>-1.6312871429486822</v>
      </c>
      <c r="AH18" s="1">
        <f t="shared" si="18"/>
        <v>-3.5000000000000004</v>
      </c>
      <c r="AI18" s="1"/>
      <c r="AJ18" s="3" t="str">
        <f t="shared" si="19"/>
        <v>no slower.[jj*] PUNC</v>
      </c>
      <c r="AK18" s="2">
        <v>0</v>
      </c>
      <c r="AL18" s="1">
        <f t="shared" si="20"/>
        <v>-2.6134560752922145</v>
      </c>
      <c r="AM18" s="1">
        <f t="shared" si="21"/>
        <v>-3.5</v>
      </c>
      <c r="AN18" s="1"/>
      <c r="AO18" s="3" t="str">
        <f t="shared" si="22"/>
        <v>any slower.[jj*] PUNC</v>
      </c>
      <c r="AP18" s="2">
        <v>40</v>
      </c>
      <c r="AQ18" s="1">
        <f t="shared" si="2"/>
        <v>1.7815568674400399</v>
      </c>
      <c r="AR18" s="1">
        <f t="shared" si="23"/>
        <v>1.6328939384401839</v>
      </c>
      <c r="AS18" s="1"/>
    </row>
    <row r="19" spans="1:45" x14ac:dyDescent="0.2">
      <c r="A19" s="41"/>
      <c r="B19" t="s">
        <v>28</v>
      </c>
      <c r="C19" s="2">
        <v>57370</v>
      </c>
      <c r="D19" s="2">
        <v>7807</v>
      </c>
      <c r="E19" s="3" t="str">
        <f t="shared" si="0"/>
        <v>-very much smaller.[jj*] PUNC</v>
      </c>
      <c r="F19" s="2">
        <v>565</v>
      </c>
      <c r="G19" s="1">
        <f t="shared" si="3"/>
        <v>1.9106732198587095</v>
      </c>
      <c r="H19" s="1">
        <f t="shared" si="4"/>
        <v>1.399574937974289</v>
      </c>
      <c r="I19" s="1"/>
      <c r="J19" s="1"/>
      <c r="K19" s="3" t="str">
        <f t="shared" si="1"/>
        <v>more smaller.[jj*] PUNC</v>
      </c>
      <c r="L19" s="2">
        <v>6</v>
      </c>
      <c r="M19" s="1">
        <f t="shared" si="5"/>
        <v>-0.47242052232934473</v>
      </c>
      <c r="N19" s="1">
        <f t="shared" si="6"/>
        <v>-0.81247017796377208</v>
      </c>
      <c r="O19" s="1"/>
      <c r="P19" s="3" t="str">
        <f t="shared" si="7"/>
        <v>less smaller.[jj*] PUNC</v>
      </c>
      <c r="Q19" s="2">
        <v>0</v>
      </c>
      <c r="R19" s="1">
        <f t="shared" si="8"/>
        <v>-2.6134560752922145</v>
      </c>
      <c r="S19" s="1">
        <f t="shared" si="9"/>
        <v>-3.5</v>
      </c>
      <c r="T19" s="1"/>
      <c r="U19" s="3" t="str">
        <f t="shared" si="10"/>
        <v>smaller.[jj*] enough</v>
      </c>
      <c r="V19" s="2">
        <v>1</v>
      </c>
      <c r="W19" s="1">
        <f t="shared" si="11"/>
        <v>-1.3555959769410073</v>
      </c>
      <c r="X19" s="1">
        <f t="shared" si="12"/>
        <v>-1.935774161442203</v>
      </c>
      <c r="Y19" s="1"/>
      <c r="Z19" s="3" t="str">
        <f t="shared" si="13"/>
        <v>that.[r*] smaller.[jj*] PUNC</v>
      </c>
      <c r="AA19" s="12">
        <v>2</v>
      </c>
      <c r="AB19" s="1">
        <f t="shared" si="14"/>
        <v>0.35703967946361193</v>
      </c>
      <c r="AC19" s="1">
        <f t="shared" si="15"/>
        <v>-1.7152974114491535</v>
      </c>
      <c r="AD19" s="1"/>
      <c r="AE19" s="3" t="str">
        <f t="shared" si="16"/>
        <v>-a little smaller.[jj*] PUNC</v>
      </c>
      <c r="AF19" s="2">
        <v>1</v>
      </c>
      <c r="AG19" s="1">
        <f t="shared" si="17"/>
        <v>-0.47572616980866211</v>
      </c>
      <c r="AH19" s="1">
        <f t="shared" si="18"/>
        <v>-0.40137154398136871</v>
      </c>
      <c r="AI19" s="1"/>
      <c r="AJ19" s="3" t="str">
        <f t="shared" si="19"/>
        <v>no smaller.[jj*] PUNC</v>
      </c>
      <c r="AK19" s="2">
        <v>5</v>
      </c>
      <c r="AL19" s="1">
        <f t="shared" si="20"/>
        <v>-0.3800932101355885</v>
      </c>
      <c r="AM19" s="1">
        <f t="shared" si="21"/>
        <v>-1.1232952318132774</v>
      </c>
      <c r="AN19" s="1"/>
      <c r="AO19" s="3" t="str">
        <f t="shared" si="22"/>
        <v>any smaller.[jj*] PUNC</v>
      </c>
      <c r="AP19" s="2">
        <v>44</v>
      </c>
      <c r="AQ19" s="1">
        <f t="shared" si="2"/>
        <v>0.75328701853668179</v>
      </c>
      <c r="AR19" s="1">
        <f t="shared" si="23"/>
        <v>0.62350219423355957</v>
      </c>
      <c r="AS19" s="1"/>
    </row>
    <row r="20" spans="1:45" x14ac:dyDescent="0.2">
      <c r="A20" s="41"/>
      <c r="B20" t="s">
        <v>29</v>
      </c>
      <c r="C20" s="2">
        <v>3861</v>
      </c>
      <c r="D20" s="2">
        <v>1042</v>
      </c>
      <c r="E20" s="3" t="str">
        <f t="shared" si="0"/>
        <v>-very much softer.[jj*] PUNC</v>
      </c>
      <c r="F20" s="2">
        <v>40</v>
      </c>
      <c r="G20" s="1">
        <f t="shared" si="3"/>
        <v>1.6353012237684155</v>
      </c>
      <c r="H20" s="1">
        <f t="shared" si="4"/>
        <v>1.1602603091067056</v>
      </c>
      <c r="I20" s="1"/>
      <c r="J20" s="1"/>
      <c r="K20" s="3" t="str">
        <f t="shared" si="1"/>
        <v>more softer.[jj*] PUNC</v>
      </c>
      <c r="L20" s="2">
        <v>2</v>
      </c>
      <c r="M20" s="1">
        <f t="shared" si="5"/>
        <v>-7.4925316647822982E-2</v>
      </c>
      <c r="N20" s="1">
        <f t="shared" si="6"/>
        <v>-0.39403068896883303</v>
      </c>
      <c r="O20" s="1"/>
      <c r="P20" s="3" t="str">
        <f t="shared" si="7"/>
        <v>less softer.[jj*] PUNC</v>
      </c>
      <c r="Q20" s="2">
        <v>0</v>
      </c>
      <c r="R20" s="1">
        <f t="shared" si="8"/>
        <v>-2.6134560752922145</v>
      </c>
      <c r="S20" s="1">
        <f t="shared" si="9"/>
        <v>-3.5</v>
      </c>
      <c r="T20" s="1"/>
      <c r="U20" s="3" t="str">
        <f t="shared" si="10"/>
        <v>softer.[jj*] enough</v>
      </c>
      <c r="V20" s="2">
        <v>0</v>
      </c>
      <c r="W20" s="1">
        <f t="shared" si="11"/>
        <v>-2.6675386949288646</v>
      </c>
      <c r="X20" s="1">
        <f t="shared" si="12"/>
        <v>-3.5</v>
      </c>
      <c r="Y20" s="1"/>
      <c r="Z20" s="3" t="str">
        <f t="shared" si="13"/>
        <v>that.[r*] softer.[jj*] PUNC</v>
      </c>
      <c r="AA20" s="12">
        <v>0</v>
      </c>
      <c r="AB20" s="1">
        <f t="shared" si="14"/>
        <v>-0.59110793989748367</v>
      </c>
      <c r="AC20" s="1">
        <f t="shared" si="15"/>
        <v>-3.5</v>
      </c>
      <c r="AD20" s="1"/>
      <c r="AE20" s="3" t="str">
        <f t="shared" si="16"/>
        <v>-a little softer.[jj*] PUNC</v>
      </c>
      <c r="AF20" s="2">
        <v>1</v>
      </c>
      <c r="AG20" s="1">
        <f t="shared" si="17"/>
        <v>0.39889029059252046</v>
      </c>
      <c r="AH20" s="1">
        <f t="shared" si="18"/>
        <v>1.9439062174656778</v>
      </c>
      <c r="AI20" s="1"/>
      <c r="AJ20" s="3" t="str">
        <f t="shared" si="19"/>
        <v>no softer.[jj*] PUNC</v>
      </c>
      <c r="AK20" s="2">
        <v>3</v>
      </c>
      <c r="AL20" s="1">
        <f t="shared" si="20"/>
        <v>0.27267450064923615</v>
      </c>
      <c r="AM20" s="1">
        <f t="shared" si="21"/>
        <v>-0.4286315231320541</v>
      </c>
      <c r="AN20" s="1"/>
      <c r="AO20" s="3" t="str">
        <f t="shared" si="22"/>
        <v>any softer.[jj*] PUNC</v>
      </c>
      <c r="AP20" s="2">
        <v>3</v>
      </c>
      <c r="AQ20" s="1">
        <f t="shared" si="2"/>
        <v>0.4615720571713382</v>
      </c>
      <c r="AR20" s="1">
        <f t="shared" si="23"/>
        <v>0.33714285579942593</v>
      </c>
      <c r="AS20" s="1"/>
    </row>
    <row r="21" spans="1:45" x14ac:dyDescent="0.2">
      <c r="A21" s="41"/>
      <c r="B21" t="s">
        <v>26</v>
      </c>
      <c r="C21" s="2">
        <v>21324</v>
      </c>
      <c r="D21" s="2">
        <v>1556</v>
      </c>
      <c r="E21" s="3" t="str">
        <f t="shared" si="0"/>
        <v>-very much harder.[jj*] PUNC</v>
      </c>
      <c r="F21" s="2">
        <v>298</v>
      </c>
      <c r="G21" s="1">
        <f t="shared" si="3"/>
        <v>2.3333156228265444</v>
      </c>
      <c r="H21" s="1">
        <f t="shared" si="4"/>
        <v>1.7668763021144021</v>
      </c>
      <c r="I21" s="1"/>
      <c r="J21" s="1"/>
      <c r="K21" s="3" t="str">
        <f t="shared" si="1"/>
        <v>more harder.[jj*] PUNC</v>
      </c>
      <c r="L21" s="2">
        <v>1</v>
      </c>
      <c r="M21" s="1">
        <f t="shared" si="5"/>
        <v>-0.55009718600196855</v>
      </c>
      <c r="N21" s="1">
        <f t="shared" si="6"/>
        <v>-0.89423967603426269</v>
      </c>
      <c r="O21" s="1"/>
      <c r="P21" s="3" t="str">
        <f t="shared" si="7"/>
        <v>less harder.[jj*] PUNC</v>
      </c>
      <c r="Q21" s="2">
        <v>0</v>
      </c>
      <c r="R21" s="1">
        <f t="shared" si="8"/>
        <v>-2.6134560752922145</v>
      </c>
      <c r="S21" s="1">
        <f t="shared" si="9"/>
        <v>-3.5</v>
      </c>
      <c r="T21" s="1"/>
      <c r="U21" s="3" t="str">
        <f t="shared" si="10"/>
        <v>harder.[jj*] enough</v>
      </c>
      <c r="V21" s="2">
        <v>0</v>
      </c>
      <c r="W21" s="1">
        <f t="shared" si="11"/>
        <v>-2.6675386949288646</v>
      </c>
      <c r="X21" s="1">
        <f t="shared" si="12"/>
        <v>-3.5</v>
      </c>
      <c r="Y21" s="1"/>
      <c r="Z21" s="3" t="str">
        <f t="shared" si="13"/>
        <v>that.[r*] harder.[jj*] PUNC</v>
      </c>
      <c r="AA21" s="12">
        <v>1</v>
      </c>
      <c r="AB21" s="1">
        <f t="shared" si="14"/>
        <v>0.75648427051064893</v>
      </c>
      <c r="AC21" s="1">
        <f t="shared" si="15"/>
        <v>-0.96342103580138416</v>
      </c>
      <c r="AD21" s="1"/>
      <c r="AE21" s="3" t="str">
        <f t="shared" si="16"/>
        <v>-a little harder.[jj*] PUNC</v>
      </c>
      <c r="AF21" s="2">
        <v>0</v>
      </c>
      <c r="AG21" s="1">
        <f t="shared" si="17"/>
        <v>-1.6312871429486822</v>
      </c>
      <c r="AH21" s="1">
        <f t="shared" si="18"/>
        <v>-3.5000000000000004</v>
      </c>
      <c r="AI21" s="1"/>
      <c r="AJ21" s="3" t="str">
        <f t="shared" si="19"/>
        <v>no harder.[jj*] PUNC</v>
      </c>
      <c r="AK21" s="2">
        <v>6</v>
      </c>
      <c r="AL21" s="1">
        <f t="shared" si="20"/>
        <v>0.39956262262305309</v>
      </c>
      <c r="AM21" s="1">
        <f t="shared" si="21"/>
        <v>-0.29359945591789827</v>
      </c>
      <c r="AN21" s="1"/>
      <c r="AO21" s="3" t="str">
        <f t="shared" si="22"/>
        <v>any harder.[jj*] PUNC</v>
      </c>
      <c r="AP21" s="2">
        <v>100</v>
      </c>
      <c r="AQ21" s="1">
        <f t="shared" si="2"/>
        <v>1.8103089287615122</v>
      </c>
      <c r="AR21" s="1">
        <f t="shared" si="23"/>
        <v>1.6611181379125</v>
      </c>
      <c r="AS21" s="1"/>
    </row>
    <row r="22" spans="1:45" x14ac:dyDescent="0.2">
      <c r="A22" s="41"/>
      <c r="B22" t="s">
        <v>25</v>
      </c>
      <c r="C22" s="2">
        <v>14119</v>
      </c>
      <c r="D22" s="2">
        <v>2167</v>
      </c>
      <c r="E22" s="3" t="str">
        <f t="shared" si="0"/>
        <v>-very much faster.[jj*] PUNC</v>
      </c>
      <c r="F22" s="2">
        <v>176</v>
      </c>
      <c r="G22" s="1">
        <f t="shared" si="3"/>
        <v>1.9607627078982905</v>
      </c>
      <c r="H22" s="1">
        <f t="shared" si="4"/>
        <v>1.443105679700216</v>
      </c>
      <c r="I22" s="1"/>
      <c r="J22" s="1"/>
      <c r="K22" s="3" t="str">
        <f t="shared" si="1"/>
        <v>more faster.[jj*] PUNC</v>
      </c>
      <c r="L22" s="2">
        <v>2</v>
      </c>
      <c r="M22" s="1">
        <f t="shared" si="5"/>
        <v>-0.39291650900413533</v>
      </c>
      <c r="N22" s="1">
        <f t="shared" si="6"/>
        <v>-0.72877704598798199</v>
      </c>
      <c r="O22" s="1"/>
      <c r="P22" s="3" t="str">
        <f t="shared" si="7"/>
        <v>less faster.[jj*] PUNC</v>
      </c>
      <c r="Q22" s="2">
        <v>0</v>
      </c>
      <c r="R22" s="1">
        <f t="shared" si="8"/>
        <v>-2.6134560752922145</v>
      </c>
      <c r="S22" s="1">
        <f t="shared" si="9"/>
        <v>-3.5</v>
      </c>
      <c r="T22" s="1"/>
      <c r="U22" s="3" t="str">
        <f t="shared" si="10"/>
        <v>faster.[jj*] enough</v>
      </c>
      <c r="V22" s="2">
        <v>0</v>
      </c>
      <c r="W22" s="1">
        <f t="shared" si="11"/>
        <v>-2.6675386949288646</v>
      </c>
      <c r="X22" s="1">
        <f t="shared" si="12"/>
        <v>-3.5</v>
      </c>
      <c r="Y22" s="1"/>
      <c r="Z22" s="3" t="str">
        <f t="shared" si="13"/>
        <v>that.[r*] faster.[jj*] PUNC</v>
      </c>
      <c r="AA22" s="12">
        <v>1</v>
      </c>
      <c r="AB22" s="1">
        <f t="shared" si="14"/>
        <v>0.6126349518445009</v>
      </c>
      <c r="AC22" s="1">
        <f t="shared" si="15"/>
        <v>-1.2341892644425583</v>
      </c>
      <c r="AD22" s="1"/>
      <c r="AE22" s="3" t="str">
        <f t="shared" si="16"/>
        <v>-a little faster.[jj*] PUNC</v>
      </c>
      <c r="AF22" s="2">
        <v>0</v>
      </c>
      <c r="AG22" s="1">
        <f t="shared" si="17"/>
        <v>-1.6312871429486822</v>
      </c>
      <c r="AH22" s="1">
        <f t="shared" si="18"/>
        <v>-3.5000000000000004</v>
      </c>
      <c r="AI22" s="1"/>
      <c r="AJ22" s="3" t="str">
        <f t="shared" si="19"/>
        <v>no faster.[jj*] PUNC</v>
      </c>
      <c r="AK22" s="2">
        <v>10</v>
      </c>
      <c r="AL22" s="1">
        <f t="shared" si="20"/>
        <v>0.47756205357326298</v>
      </c>
      <c r="AM22" s="1">
        <f t="shared" si="21"/>
        <v>-0.21059385823943325</v>
      </c>
      <c r="AN22" s="1"/>
      <c r="AO22" s="3" t="str">
        <f t="shared" si="22"/>
        <v>any faster.[jj*] PUNC</v>
      </c>
      <c r="AP22" s="2">
        <v>371</v>
      </c>
      <c r="AQ22" s="1">
        <f t="shared" si="2"/>
        <v>2.2358335197104102</v>
      </c>
      <c r="AR22" s="1">
        <f t="shared" si="23"/>
        <v>2.0788304821174761</v>
      </c>
      <c r="AS22" s="1"/>
    </row>
    <row r="23" spans="1:45" x14ac:dyDescent="0.2">
      <c r="A23" s="41">
        <v>4</v>
      </c>
      <c r="B23" t="s">
        <v>38</v>
      </c>
      <c r="C23" s="2">
        <v>41176</v>
      </c>
      <c r="D23" s="2">
        <v>1708</v>
      </c>
      <c r="E23" s="3" t="str">
        <f t="shared" si="0"/>
        <v>-very much separate.[jj*] PUNC</v>
      </c>
      <c r="F23" s="2">
        <v>0</v>
      </c>
      <c r="G23" s="1">
        <f t="shared" si="3"/>
        <v>-3.7271172363632399</v>
      </c>
      <c r="H23" s="1">
        <f t="shared" si="4"/>
        <v>-3.5000000000000004</v>
      </c>
      <c r="I23" s="1">
        <f>AVERAGE(H23:H29)</f>
        <v>-1.9155767475845473</v>
      </c>
      <c r="J23" s="1"/>
      <c r="K23" s="3" t="str">
        <f t="shared" si="1"/>
        <v>more separate.[jj*] PUNC</v>
      </c>
      <c r="L23" s="2">
        <v>9</v>
      </c>
      <c r="M23" s="1">
        <f t="shared" si="5"/>
        <v>0.3636670497380381</v>
      </c>
      <c r="N23" s="1">
        <f t="shared" si="6"/>
        <v>6.7671397105188408E-2</v>
      </c>
      <c r="O23" s="1">
        <f>AVERAGE(N23:N29)</f>
        <v>0.35929054423656198</v>
      </c>
      <c r="P23" s="3" t="str">
        <f t="shared" si="7"/>
        <v>less separate.[jj*] PUNC</v>
      </c>
      <c r="Q23" s="2">
        <v>0</v>
      </c>
      <c r="R23" s="1">
        <f t="shared" si="8"/>
        <v>-2.6134560752922145</v>
      </c>
      <c r="S23" s="1">
        <f t="shared" si="9"/>
        <v>-3.5</v>
      </c>
      <c r="T23" s="1">
        <f>AVERAGE(S23:S29)</f>
        <v>-0.94655619063858254</v>
      </c>
      <c r="U23" s="3" t="str">
        <f t="shared" si="10"/>
        <v>separate.[jj*] enough</v>
      </c>
      <c r="V23" s="2">
        <v>3</v>
      </c>
      <c r="W23" s="1">
        <f t="shared" si="11"/>
        <v>-0.73443402758101861</v>
      </c>
      <c r="X23" s="1">
        <f t="shared" si="12"/>
        <v>-1.1951644093578768</v>
      </c>
      <c r="Y23" s="1">
        <f>AVERAGE(X23:X29)</f>
        <v>-0.73474553998438563</v>
      </c>
      <c r="Z23" s="3" t="str">
        <f t="shared" si="13"/>
        <v>that.[r*] separate.[jj*] PUNC</v>
      </c>
      <c r="AA23" s="12">
        <v>2</v>
      </c>
      <c r="AB23" s="1">
        <f t="shared" si="14"/>
        <v>1.0170359924753134</v>
      </c>
      <c r="AC23" s="1">
        <f t="shared" si="15"/>
        <v>-0.4729833411362222</v>
      </c>
      <c r="AD23" s="1">
        <f>AVERAGE(AC23:AC29)</f>
        <v>-0.85142561873806166</v>
      </c>
      <c r="AE23" s="3" t="str">
        <f t="shared" si="16"/>
        <v>-a little separate.[jj*] PUNC</v>
      </c>
      <c r="AF23" s="2">
        <v>0</v>
      </c>
      <c r="AG23" s="1">
        <f t="shared" si="17"/>
        <v>-1.6312871429486822</v>
      </c>
      <c r="AH23" s="1">
        <f t="shared" si="18"/>
        <v>-3.5000000000000004</v>
      </c>
      <c r="AI23" s="1">
        <f>AVERAGE(AH23:AH29)</f>
        <v>-2.8505933103528212</v>
      </c>
      <c r="AJ23" s="3" t="str">
        <f t="shared" si="19"/>
        <v>no separate.[jj*] PUNC</v>
      </c>
      <c r="AK23" s="2">
        <v>2</v>
      </c>
      <c r="AL23" s="1">
        <f t="shared" si="20"/>
        <v>-0.11803690579592452</v>
      </c>
      <c r="AM23" s="1">
        <f t="shared" si="21"/>
        <v>-0.84441960538712058</v>
      </c>
      <c r="AN23" s="1">
        <f>AVERAGE(AM23:AM29)</f>
        <v>-1.76840559775156</v>
      </c>
      <c r="AO23" s="3" t="str">
        <f t="shared" si="22"/>
        <v>any separate.[jj*] PUNC</v>
      </c>
      <c r="AP23" s="2">
        <v>0</v>
      </c>
      <c r="AQ23" s="1">
        <f t="shared" si="2"/>
        <v>-3.4473347941074066</v>
      </c>
      <c r="AR23" s="1">
        <f t="shared" si="23"/>
        <v>-3.5</v>
      </c>
      <c r="AS23" s="1">
        <f>AVERAGE(AR23:AR29)</f>
        <v>-1.3995388226490821</v>
      </c>
    </row>
    <row r="24" spans="1:45" x14ac:dyDescent="0.2">
      <c r="A24" s="41"/>
      <c r="B24" t="s">
        <v>37</v>
      </c>
      <c r="C24" s="2">
        <v>20706</v>
      </c>
      <c r="D24" s="2">
        <v>1604</v>
      </c>
      <c r="E24" s="3" t="str">
        <f t="shared" si="0"/>
        <v>-very much distinct.[jj*] PUNC</v>
      </c>
      <c r="F24" s="2">
        <v>0</v>
      </c>
      <c r="G24" s="1">
        <f t="shared" si="3"/>
        <v>-3.7271172363632399</v>
      </c>
      <c r="H24" s="1">
        <f t="shared" si="4"/>
        <v>-3.5000000000000004</v>
      </c>
      <c r="I24" s="1"/>
      <c r="J24" s="1"/>
      <c r="K24" s="3" t="str">
        <f t="shared" si="1"/>
        <v>more distinct.[jj*] PUNC</v>
      </c>
      <c r="L24" s="2">
        <v>89</v>
      </c>
      <c r="M24" s="1">
        <f t="shared" si="5"/>
        <v>1.3860980493484698</v>
      </c>
      <c r="N24" s="1">
        <f t="shared" si="6"/>
        <v>1.143974957235051</v>
      </c>
      <c r="O24" s="1"/>
      <c r="P24" s="3" t="str">
        <f t="shared" si="7"/>
        <v>less distinct.[jj*] PUNC</v>
      </c>
      <c r="Q24" s="2">
        <v>44</v>
      </c>
      <c r="R24" s="1">
        <f t="shared" si="8"/>
        <v>1.9088651715888583</v>
      </c>
      <c r="S24" s="1">
        <f t="shared" si="9"/>
        <v>1.3125732895539106</v>
      </c>
      <c r="T24" s="1"/>
      <c r="U24" s="3" t="str">
        <f t="shared" si="10"/>
        <v>distinct.[jj*] enough</v>
      </c>
      <c r="V24" s="2">
        <v>43</v>
      </c>
      <c r="W24" s="1">
        <f t="shared" si="11"/>
        <v>0.72046111884588937</v>
      </c>
      <c r="X24" s="1">
        <f t="shared" si="12"/>
        <v>0.53950323217124252</v>
      </c>
      <c r="Y24" s="1"/>
      <c r="Z24" s="3" t="str">
        <f t="shared" si="13"/>
        <v>that.[r*] distinct.[jj*] PUNC</v>
      </c>
      <c r="AA24" s="2">
        <v>0</v>
      </c>
      <c r="AB24" s="1">
        <f t="shared" si="14"/>
        <v>-0.59110793989748367</v>
      </c>
      <c r="AC24" s="1">
        <f t="shared" si="15"/>
        <v>-3.5</v>
      </c>
      <c r="AD24" s="1"/>
      <c r="AE24" s="3" t="str">
        <f t="shared" si="16"/>
        <v>-a little distinct.[jj*] PUNC</v>
      </c>
      <c r="AF24" s="2">
        <v>0</v>
      </c>
      <c r="AG24" s="1">
        <f t="shared" si="17"/>
        <v>-1.6312871429486822</v>
      </c>
      <c r="AH24" s="1">
        <f t="shared" si="18"/>
        <v>-3.5000000000000004</v>
      </c>
      <c r="AI24" s="1"/>
      <c r="AJ24" s="3" t="str">
        <f t="shared" si="19"/>
        <v>no distinct.[jj*] PUNC</v>
      </c>
      <c r="AK24" s="2">
        <v>0</v>
      </c>
      <c r="AL24" s="1">
        <f t="shared" si="20"/>
        <v>-2.6134560752922145</v>
      </c>
      <c r="AM24" s="1">
        <f t="shared" si="21"/>
        <v>-3.5</v>
      </c>
      <c r="AN24" s="1"/>
      <c r="AO24" s="3" t="str">
        <f t="shared" si="22"/>
        <v>any distinct.[jj*] PUNC</v>
      </c>
      <c r="AP24" s="2">
        <v>1</v>
      </c>
      <c r="AQ24" s="1">
        <f t="shared" si="2"/>
        <v>-0.20288584253296182</v>
      </c>
      <c r="AR24" s="1">
        <f t="shared" si="23"/>
        <v>-0.31511619764815707</v>
      </c>
      <c r="AS24" s="1"/>
    </row>
    <row r="25" spans="1:45" x14ac:dyDescent="0.2">
      <c r="A25" s="41"/>
      <c r="B25" t="s">
        <v>33</v>
      </c>
      <c r="C25" s="2">
        <v>1204</v>
      </c>
      <c r="D25" s="2">
        <v>219</v>
      </c>
      <c r="E25" s="3" t="str">
        <f t="shared" si="0"/>
        <v>-very much dissimilar.[jj*] PUNC</v>
      </c>
      <c r="F25" s="2">
        <v>0</v>
      </c>
      <c r="G25" s="1">
        <f t="shared" si="3"/>
        <v>-3.7271172363632399</v>
      </c>
      <c r="H25" s="1">
        <f t="shared" si="4"/>
        <v>-3.5000000000000004</v>
      </c>
      <c r="I25" s="1"/>
      <c r="J25" s="1"/>
      <c r="K25" s="3" t="str">
        <f t="shared" si="1"/>
        <v>more dissimilar.[jj*] PUNC</v>
      </c>
      <c r="L25" s="2">
        <v>10</v>
      </c>
      <c r="M25" s="1">
        <f t="shared" si="5"/>
        <v>1.3014682918115827</v>
      </c>
      <c r="N25" s="1">
        <f t="shared" si="6"/>
        <v>1.0548860022203999</v>
      </c>
      <c r="O25" s="1"/>
      <c r="P25" s="3" t="str">
        <f t="shared" si="7"/>
        <v>less dissimilar.[jj*] PUNC</v>
      </c>
      <c r="Q25" s="2">
        <v>0</v>
      </c>
      <c r="R25" s="1">
        <f t="shared" si="8"/>
        <v>-2.6134560752922145</v>
      </c>
      <c r="S25" s="1">
        <f t="shared" si="9"/>
        <v>-3.5</v>
      </c>
      <c r="T25" s="1"/>
      <c r="U25" s="3" t="str">
        <f t="shared" si="10"/>
        <v>dissimilar.[jj*] enough</v>
      </c>
      <c r="V25" s="2">
        <v>1</v>
      </c>
      <c r="W25" s="1">
        <f t="shared" si="11"/>
        <v>0.32246238601962851</v>
      </c>
      <c r="X25" s="1">
        <f t="shared" si="12"/>
        <v>6.4970393912171048E-2</v>
      </c>
      <c r="Y25" s="1"/>
      <c r="Z25" s="3" t="str">
        <f t="shared" si="13"/>
        <v>that.[r*] dissimilar.[jj*] PUNC</v>
      </c>
      <c r="AA25" s="2">
        <v>7</v>
      </c>
      <c r="AB25" s="1">
        <f t="shared" si="14"/>
        <v>2.4531477883384571</v>
      </c>
      <c r="AC25" s="1">
        <f t="shared" si="15"/>
        <v>2.2302164425139694</v>
      </c>
      <c r="AD25" s="1"/>
      <c r="AE25" s="3" t="str">
        <f t="shared" si="16"/>
        <v>-a little dissimilar.[jj*] PUNC</v>
      </c>
      <c r="AF25" s="2">
        <v>0</v>
      </c>
      <c r="AG25" s="1">
        <f t="shared" si="17"/>
        <v>-1.6312871429486822</v>
      </c>
      <c r="AH25" s="1">
        <f t="shared" si="18"/>
        <v>-3.5000000000000004</v>
      </c>
      <c r="AI25" s="1"/>
      <c r="AJ25" s="3" t="str">
        <f t="shared" si="19"/>
        <v>no dissimilar.[jj*] PUNC</v>
      </c>
      <c r="AK25" s="2">
        <v>0</v>
      </c>
      <c r="AL25" s="1">
        <f t="shared" si="20"/>
        <v>-2.6134560752922145</v>
      </c>
      <c r="AM25" s="1">
        <f t="shared" si="21"/>
        <v>-3.5</v>
      </c>
      <c r="AN25" s="1"/>
      <c r="AO25" s="3" t="str">
        <f t="shared" si="22"/>
        <v>any dissimilar.[jj*] PUNC</v>
      </c>
      <c r="AP25" s="2">
        <v>0</v>
      </c>
      <c r="AQ25" s="1">
        <f t="shared" si="2"/>
        <v>-3.4473347941074066</v>
      </c>
      <c r="AR25" s="1">
        <f t="shared" si="23"/>
        <v>-3.5</v>
      </c>
      <c r="AS25" s="1"/>
    </row>
    <row r="26" spans="1:45" x14ac:dyDescent="0.2">
      <c r="A26" s="41"/>
      <c r="B26" t="s">
        <v>35</v>
      </c>
      <c r="C26" s="2">
        <v>20596</v>
      </c>
      <c r="D26" s="2">
        <v>2572</v>
      </c>
      <c r="E26" s="3" t="str">
        <f t="shared" si="0"/>
        <v>-very much superior.[jj*] PUNC</v>
      </c>
      <c r="F26" s="2">
        <v>1</v>
      </c>
      <c r="G26" s="1">
        <f t="shared" si="3"/>
        <v>-0.35916201284822424</v>
      </c>
      <c r="H26" s="1">
        <f t="shared" si="4"/>
        <v>-0.57304676654975528</v>
      </c>
      <c r="I26" s="1"/>
      <c r="J26" s="1"/>
      <c r="K26" s="3" t="str">
        <f t="shared" si="1"/>
        <v>more superior.[jj*] PUNC</v>
      </c>
      <c r="L26" s="2">
        <v>3</v>
      </c>
      <c r="M26" s="1">
        <f t="shared" si="5"/>
        <v>-0.29123730288082239</v>
      </c>
      <c r="N26" s="1">
        <f t="shared" si="6"/>
        <v>-0.62174029574919032</v>
      </c>
      <c r="O26" s="1"/>
      <c r="P26" s="3" t="str">
        <f t="shared" si="7"/>
        <v>less superior.[jj*] PUNC</v>
      </c>
      <c r="Q26" s="2">
        <v>4</v>
      </c>
      <c r="R26" s="1">
        <f t="shared" si="8"/>
        <v>0.66240588612659401</v>
      </c>
      <c r="S26" s="1">
        <f t="shared" si="9"/>
        <v>-1.3886361641651081E-2</v>
      </c>
      <c r="T26" s="1"/>
      <c r="U26" s="3" t="str">
        <f t="shared" si="10"/>
        <v>superior.[jj*] enough</v>
      </c>
      <c r="V26" s="2">
        <v>6</v>
      </c>
      <c r="W26" s="1">
        <f t="shared" si="11"/>
        <v>-0.13254275983012143</v>
      </c>
      <c r="X26" s="1">
        <f t="shared" si="12"/>
        <v>-0.47753104007309333</v>
      </c>
      <c r="Y26" s="1"/>
      <c r="Z26" s="3" t="str">
        <f t="shared" si="13"/>
        <v>that.[r*] superior.[jj*] PUNC</v>
      </c>
      <c r="AA26" s="12">
        <v>2</v>
      </c>
      <c r="AB26" s="1">
        <f t="shared" si="14"/>
        <v>0.83925289457611552</v>
      </c>
      <c r="AC26" s="1">
        <f t="shared" si="15"/>
        <v>-0.80762527720424848</v>
      </c>
      <c r="AD26" s="1"/>
      <c r="AE26" s="3" t="str">
        <f t="shared" si="16"/>
        <v>-a little superior.[jj*] PUNC</v>
      </c>
      <c r="AF26" s="2">
        <v>0</v>
      </c>
      <c r="AG26" s="1">
        <f t="shared" si="17"/>
        <v>-1.6312871429486822</v>
      </c>
      <c r="AH26" s="1">
        <f t="shared" si="18"/>
        <v>-3.5000000000000004</v>
      </c>
      <c r="AI26" s="1"/>
      <c r="AJ26" s="3" t="str">
        <f t="shared" si="19"/>
        <v>no superior.[jj*] PUNC</v>
      </c>
      <c r="AK26" s="2">
        <v>4</v>
      </c>
      <c r="AL26" s="1">
        <f t="shared" si="20"/>
        <v>5.2099919688588514E-3</v>
      </c>
      <c r="AM26" s="1">
        <f t="shared" si="21"/>
        <v>-0.7132624637726791</v>
      </c>
      <c r="AN26" s="1"/>
      <c r="AO26" s="3" t="str">
        <f t="shared" si="22"/>
        <v>any superior.[jj*] PUNC</v>
      </c>
      <c r="AP26" s="2">
        <v>3</v>
      </c>
      <c r="AQ26" s="1">
        <f t="shared" si="2"/>
        <v>6.916881188265922E-2</v>
      </c>
      <c r="AR26" s="1">
        <f t="shared" si="23"/>
        <v>-4.8056220704377907E-2</v>
      </c>
      <c r="AS26" s="1"/>
    </row>
    <row r="27" spans="1:45" x14ac:dyDescent="0.2">
      <c r="A27" s="41"/>
      <c r="B27" t="s">
        <v>36</v>
      </c>
      <c r="C27" s="2">
        <v>2749</v>
      </c>
      <c r="D27" s="2">
        <v>371</v>
      </c>
      <c r="E27" s="3" t="str">
        <f t="shared" si="0"/>
        <v>-very much unequal.[jj*] PUNC</v>
      </c>
      <c r="F27" s="2">
        <v>0</v>
      </c>
      <c r="G27" s="1">
        <f t="shared" si="3"/>
        <v>-3.7271172363632399</v>
      </c>
      <c r="H27" s="1">
        <f t="shared" si="4"/>
        <v>-3.5000000000000004</v>
      </c>
      <c r="I27" s="1"/>
      <c r="J27" s="1"/>
      <c r="K27" s="3" t="str">
        <f t="shared" si="1"/>
        <v>more unequal.[jj*] PUNC</v>
      </c>
      <c r="L27" s="2">
        <v>23</v>
      </c>
      <c r="M27" s="1">
        <f t="shared" si="5"/>
        <v>1.4342663330542482</v>
      </c>
      <c r="N27" s="1">
        <f t="shared" si="6"/>
        <v>1.194681259428185</v>
      </c>
      <c r="O27" s="1"/>
      <c r="P27" s="3" t="str">
        <f t="shared" si="7"/>
        <v>less unequal.[jj*] PUNC</v>
      </c>
      <c r="Q27" s="2">
        <v>3</v>
      </c>
      <c r="R27" s="1">
        <f t="shared" si="8"/>
        <v>1.3783642041554307</v>
      </c>
      <c r="S27" s="1">
        <f t="shared" si="9"/>
        <v>0.7480236597120653</v>
      </c>
      <c r="T27" s="1"/>
      <c r="U27" s="3" t="str">
        <f t="shared" si="10"/>
        <v>unequal.[jj*] enough</v>
      </c>
      <c r="V27" s="2">
        <v>1</v>
      </c>
      <c r="W27" s="1">
        <f t="shared" si="11"/>
        <v>-3.6085866902034525E-2</v>
      </c>
      <c r="X27" s="1">
        <f t="shared" si="12"/>
        <v>-0.36252574132306598</v>
      </c>
      <c r="Y27" s="1"/>
      <c r="Z27" s="3" t="str">
        <f t="shared" si="13"/>
        <v>that.[r*] unequal.[jj*] PUNC</v>
      </c>
      <c r="AA27" s="12">
        <v>0</v>
      </c>
      <c r="AB27" s="1">
        <f t="shared" si="14"/>
        <v>-0.59110793989748367</v>
      </c>
      <c r="AC27" s="1">
        <f t="shared" si="15"/>
        <v>-3.5</v>
      </c>
      <c r="AD27" s="1"/>
      <c r="AE27" s="3" t="str">
        <f t="shared" si="16"/>
        <v>-a little unequal.[jj*] PUNC</v>
      </c>
      <c r="AF27" s="2">
        <v>0</v>
      </c>
      <c r="AG27" s="1">
        <f t="shared" si="17"/>
        <v>-1.6312871429486822</v>
      </c>
      <c r="AH27" s="1">
        <f t="shared" si="18"/>
        <v>-3.5000000000000004</v>
      </c>
      <c r="AI27" s="1"/>
      <c r="AJ27" s="3" t="str">
        <f t="shared" si="19"/>
        <v>no unequal.[jj*] PUNC</v>
      </c>
      <c r="AK27" s="2">
        <v>0</v>
      </c>
      <c r="AL27" s="1">
        <f t="shared" si="20"/>
        <v>-2.6134560752922145</v>
      </c>
      <c r="AM27" s="1">
        <f t="shared" si="21"/>
        <v>-3.5</v>
      </c>
      <c r="AN27" s="1"/>
      <c r="AO27" s="3" t="str">
        <f t="shared" si="22"/>
        <v>any unequal.[jj*] PUNC</v>
      </c>
      <c r="AP27" s="2">
        <v>0</v>
      </c>
      <c r="AQ27" s="1">
        <f t="shared" si="2"/>
        <v>-3.4473347941074066</v>
      </c>
      <c r="AR27" s="1">
        <f t="shared" si="23"/>
        <v>-3.5</v>
      </c>
      <c r="AS27" s="1"/>
    </row>
    <row r="28" spans="1:45" x14ac:dyDescent="0.2">
      <c r="A28" s="41"/>
      <c r="B28" t="s">
        <v>34</v>
      </c>
      <c r="C28" s="2">
        <v>6279</v>
      </c>
      <c r="D28" s="2">
        <v>1121</v>
      </c>
      <c r="E28" s="3" t="str">
        <f t="shared" si="0"/>
        <v>-very much inferior.[jj*] PUNC</v>
      </c>
      <c r="F28" s="2">
        <v>7</v>
      </c>
      <c r="G28" s="1">
        <f t="shared" si="3"/>
        <v>0.8466013788232436</v>
      </c>
      <c r="H28" s="1">
        <f t="shared" si="4"/>
        <v>0.47483327454693774</v>
      </c>
      <c r="I28" s="1"/>
      <c r="J28" s="1"/>
      <c r="K28" s="3" t="str">
        <f t="shared" si="1"/>
        <v>more inferior.[jj*] PUNC</v>
      </c>
      <c r="L28" s="2">
        <v>2</v>
      </c>
      <c r="M28" s="1">
        <f t="shared" si="5"/>
        <v>-0.10666321027929104</v>
      </c>
      <c r="N28" s="1">
        <f t="shared" si="6"/>
        <v>-0.42744087304931133</v>
      </c>
      <c r="O28" s="1"/>
      <c r="P28" s="3" t="str">
        <f t="shared" si="7"/>
        <v>less inferior.[jj*] PUNC</v>
      </c>
      <c r="Q28" s="2">
        <v>1</v>
      </c>
      <c r="R28" s="1">
        <f t="shared" si="8"/>
        <v>0.42101124645584243</v>
      </c>
      <c r="S28" s="1">
        <f t="shared" si="9"/>
        <v>-0.27077421451635886</v>
      </c>
      <c r="T28" s="1"/>
      <c r="U28" s="3" t="str">
        <f t="shared" si="10"/>
        <v>inferior.[jj*] enough</v>
      </c>
      <c r="V28" s="2">
        <v>0</v>
      </c>
      <c r="W28" s="1">
        <f t="shared" si="11"/>
        <v>-2.6675386949288646</v>
      </c>
      <c r="X28" s="1">
        <f t="shared" si="12"/>
        <v>-3.5</v>
      </c>
      <c r="Y28" s="1"/>
      <c r="Z28" s="3" t="str">
        <f t="shared" si="13"/>
        <v>that.[r*] inferior.[jj*] PUNC</v>
      </c>
      <c r="AA28" s="12">
        <v>1</v>
      </c>
      <c r="AB28" s="1">
        <f t="shared" si="14"/>
        <v>0.89888825056934518</v>
      </c>
      <c r="AC28" s="1">
        <f t="shared" si="15"/>
        <v>-0.69537337461339821</v>
      </c>
      <c r="AD28" s="1"/>
      <c r="AE28" s="3" t="str">
        <f t="shared" si="16"/>
        <v>-a little inferior.[jj*] PUNC</v>
      </c>
      <c r="AF28" s="2">
        <v>0</v>
      </c>
      <c r="AG28" s="1">
        <f t="shared" si="17"/>
        <v>-1.6312871429486822</v>
      </c>
      <c r="AH28" s="1">
        <f t="shared" si="18"/>
        <v>-3.5000000000000004</v>
      </c>
      <c r="AI28" s="1"/>
      <c r="AJ28" s="3" t="str">
        <f t="shared" si="19"/>
        <v>no inferior.[jj*] PUNC</v>
      </c>
      <c r="AK28" s="2">
        <v>1</v>
      </c>
      <c r="AL28" s="1">
        <f t="shared" si="20"/>
        <v>-0.23618464770189274</v>
      </c>
      <c r="AM28" s="1">
        <f t="shared" si="21"/>
        <v>-0.97015031664738693</v>
      </c>
      <c r="AN28" s="1"/>
      <c r="AO28" s="3" t="str">
        <f t="shared" si="22"/>
        <v>any inferior.[jj*] PUNC</v>
      </c>
      <c r="AP28" s="2">
        <v>1</v>
      </c>
      <c r="AQ28" s="1">
        <f t="shared" si="2"/>
        <v>-4.7287091179790686E-2</v>
      </c>
      <c r="AR28" s="1">
        <f t="shared" si="23"/>
        <v>-0.16237409868235192</v>
      </c>
      <c r="AS28" s="1"/>
    </row>
    <row r="29" spans="1:45" x14ac:dyDescent="0.2">
      <c r="A29" s="41"/>
      <c r="B29" t="s">
        <v>32</v>
      </c>
      <c r="C29" s="2">
        <v>413540</v>
      </c>
      <c r="D29" s="2">
        <v>51821</v>
      </c>
      <c r="E29" s="3" t="str">
        <f t="shared" si="0"/>
        <v>-very much different.[jj*] PUNC</v>
      </c>
      <c r="F29" s="2">
        <v>571</v>
      </c>
      <c r="G29" s="1">
        <f t="shared" si="3"/>
        <v>1.0932392702533478</v>
      </c>
      <c r="H29" s="1">
        <f t="shared" si="4"/>
        <v>0.68917625891098611</v>
      </c>
      <c r="I29" s="1"/>
      <c r="J29" s="1"/>
      <c r="K29" s="3" t="str">
        <f t="shared" si="1"/>
        <v>more different.[jj*] PUNC</v>
      </c>
      <c r="L29" s="2">
        <v>295</v>
      </c>
      <c r="M29" s="1">
        <f t="shared" si="5"/>
        <v>0.39722863323340496</v>
      </c>
      <c r="N29" s="1">
        <f t="shared" si="6"/>
        <v>0.10300136246561119</v>
      </c>
      <c r="O29" s="1"/>
      <c r="P29" s="3" t="str">
        <f t="shared" si="7"/>
        <v>less different.[jj*] PUNC</v>
      </c>
      <c r="Q29" s="2">
        <v>4</v>
      </c>
      <c r="R29" s="1">
        <f t="shared" si="8"/>
        <v>-0.64182893901768079</v>
      </c>
      <c r="S29" s="1">
        <f t="shared" si="9"/>
        <v>-1.4018297075780433</v>
      </c>
      <c r="T29" s="1"/>
      <c r="U29" s="3" t="str">
        <f t="shared" si="10"/>
        <v>different.[jj*] enough</v>
      </c>
      <c r="V29" s="2">
        <v>201</v>
      </c>
      <c r="W29" s="1">
        <f t="shared" si="11"/>
        <v>8.9767406947118378E-2</v>
      </c>
      <c r="X29" s="1">
        <f t="shared" si="12"/>
        <v>-0.21247121522007698</v>
      </c>
      <c r="Y29" s="1"/>
      <c r="Z29" s="3" t="str">
        <f t="shared" si="13"/>
        <v>that.[r*] different.[jj*] PUNC</v>
      </c>
      <c r="AA29" s="12">
        <v>283</v>
      </c>
      <c r="AB29" s="1">
        <f t="shared" si="14"/>
        <v>1.6857745092921488</v>
      </c>
      <c r="AC29" s="1">
        <f t="shared" si="15"/>
        <v>0.78578621927346737</v>
      </c>
      <c r="AD29" s="1"/>
      <c r="AE29" s="3" t="str">
        <f t="shared" si="16"/>
        <v>-a little different.[jj*] PUNC</v>
      </c>
      <c r="AF29" s="2">
        <v>23</v>
      </c>
      <c r="AG29" s="1">
        <f t="shared" si="17"/>
        <v>6.3980056177158851E-2</v>
      </c>
      <c r="AH29" s="1">
        <f t="shared" si="18"/>
        <v>1.045846827530255</v>
      </c>
      <c r="AI29" s="1"/>
      <c r="AJ29" s="3" t="str">
        <f t="shared" si="19"/>
        <v>no different.[jj*] PUNC</v>
      </c>
      <c r="AK29" s="2">
        <v>1536</v>
      </c>
      <c r="AL29" s="1">
        <f t="shared" si="20"/>
        <v>1.2853063911921141</v>
      </c>
      <c r="AM29" s="1">
        <f t="shared" si="21"/>
        <v>0.64899320154626605</v>
      </c>
      <c r="AN29" s="1"/>
      <c r="AO29" s="3" t="str">
        <f t="shared" si="22"/>
        <v>any different.[jj*] PUNC</v>
      </c>
      <c r="AP29" s="2">
        <v>1208</v>
      </c>
      <c r="AQ29" s="1">
        <f t="shared" si="2"/>
        <v>1.3698796663038362</v>
      </c>
      <c r="AR29" s="1">
        <f t="shared" si="23"/>
        <v>1.2287747584913136</v>
      </c>
      <c r="AS29" s="1"/>
    </row>
    <row r="30" spans="1:45" x14ac:dyDescent="0.2">
      <c r="A30" s="41">
        <v>5</v>
      </c>
      <c r="B30" t="s">
        <v>44</v>
      </c>
      <c r="C30" s="2">
        <v>597161</v>
      </c>
      <c r="D30" s="2">
        <v>42855</v>
      </c>
      <c r="E30" s="3" t="str">
        <f>CONCATENATE("-very much the ",B30," PUNC")</f>
        <v>-very much the same PUNC</v>
      </c>
      <c r="F30" s="2">
        <v>766</v>
      </c>
      <c r="G30" s="1">
        <f t="shared" si="3"/>
        <v>1.3033362215981383</v>
      </c>
      <c r="H30" s="1">
        <f t="shared" si="4"/>
        <v>0.87176299485781328</v>
      </c>
      <c r="I30" s="1">
        <f>AVERAGE(H30:H36)</f>
        <v>-1.1786367075425546</v>
      </c>
      <c r="J30" s="1"/>
      <c r="K30" s="3" t="str">
        <f>CONCATENATE("more the ",B30," PUNC")</f>
        <v>more the same PUNC</v>
      </c>
      <c r="L30" s="2">
        <v>7</v>
      </c>
      <c r="M30" s="1">
        <f t="shared" si="5"/>
        <v>-1.1449910527724665</v>
      </c>
      <c r="N30" s="1">
        <f t="shared" si="6"/>
        <v>-1.520478891148505</v>
      </c>
      <c r="O30" s="1">
        <f>AVERAGE(N30:N36)</f>
        <v>-0.59208972534977022</v>
      </c>
      <c r="P30" s="3" t="str">
        <f>CONCATENATE("less the ",$B30," PUNC")</f>
        <v>less the same PUNC</v>
      </c>
      <c r="Q30" s="2">
        <v>70</v>
      </c>
      <c r="R30" s="1">
        <f t="shared" si="8"/>
        <v>0.68371339962664734</v>
      </c>
      <c r="S30" s="1">
        <f t="shared" si="9"/>
        <v>8.78871267065876E-3</v>
      </c>
      <c r="T30" s="1">
        <f>AVERAGE(S30:S36)</f>
        <v>-1.0034232599944706</v>
      </c>
      <c r="U30" s="3" t="str">
        <f>CONCATENATE(,$B30," enough")</f>
        <v>same enough</v>
      </c>
      <c r="V30" s="2">
        <v>0</v>
      </c>
      <c r="W30" s="1">
        <f t="shared" si="11"/>
        <v>-2.6675386949288646</v>
      </c>
      <c r="X30" s="1">
        <f t="shared" si="12"/>
        <v>-3.5</v>
      </c>
      <c r="Y30" s="1">
        <f>AVERAGE(X30:X36)</f>
        <v>-1.7402021979366347</v>
      </c>
      <c r="Z30" s="3" t="str">
        <f t="shared" si="13"/>
        <v>that.[r*] same.[jj*] PUNC</v>
      </c>
      <c r="AA30" s="2">
        <v>0</v>
      </c>
      <c r="AB30" s="1">
        <f t="shared" si="14"/>
        <v>-0.59110793989748367</v>
      </c>
      <c r="AC30" s="1">
        <f t="shared" si="15"/>
        <v>-3.5</v>
      </c>
      <c r="AD30" s="1">
        <f>AVERAGE(AC30:AC36)</f>
        <v>-2.385646360572593</v>
      </c>
      <c r="AE30" s="3" t="str">
        <f>CONCATENATE("-a little the ",$B30," PUNC")</f>
        <v>-a little the same PUNC</v>
      </c>
      <c r="AF30" s="2">
        <v>0</v>
      </c>
      <c r="AG30" s="1">
        <f t="shared" si="17"/>
        <v>-1.6312871429486822</v>
      </c>
      <c r="AH30" s="1">
        <f t="shared" si="18"/>
        <v>-3.5000000000000004</v>
      </c>
      <c r="AI30" s="1">
        <f>AVERAGE(AH30:AH36)</f>
        <v>-3.5000000000000004</v>
      </c>
      <c r="AJ30" s="3" t="str">
        <f>CONCATENATE("no the ",$B30," PUNC")</f>
        <v>no the same PUNC</v>
      </c>
      <c r="AK30" s="2">
        <v>1</v>
      </c>
      <c r="AL30" s="1">
        <f t="shared" si="20"/>
        <v>-1.8185805345453439</v>
      </c>
      <c r="AM30" s="1">
        <f t="shared" si="21"/>
        <v>-2.6541076834034323</v>
      </c>
      <c r="AN30" s="1">
        <f>AVERAGE(AM30:AM36)</f>
        <v>-1.579199573831078</v>
      </c>
      <c r="AO30" s="3" t="s">
        <v>208</v>
      </c>
      <c r="AP30" s="2">
        <v>0</v>
      </c>
      <c r="AQ30" s="1">
        <f t="shared" si="2"/>
        <v>-3.4473347941074066</v>
      </c>
      <c r="AR30" s="1">
        <f t="shared" si="23"/>
        <v>-3.5</v>
      </c>
      <c r="AS30" s="1">
        <f>AVERAGE(AR30:AR36)</f>
        <v>-2.6743884500782968</v>
      </c>
    </row>
    <row r="31" spans="1:45" x14ac:dyDescent="0.2">
      <c r="A31" s="41"/>
      <c r="B31" t="s">
        <v>39</v>
      </c>
      <c r="C31" s="2">
        <v>3411</v>
      </c>
      <c r="D31" s="2">
        <v>175</v>
      </c>
      <c r="E31" s="3" t="str">
        <f t="shared" ref="E31:E50" si="24">CONCATENATE("-very much ",B31,".[jj*] PUNC")</f>
        <v>-very much analogous.[jj*] PUNC</v>
      </c>
      <c r="F31" s="2">
        <v>0</v>
      </c>
      <c r="G31" s="1">
        <f t="shared" si="3"/>
        <v>-3.7271172363632399</v>
      </c>
      <c r="H31" s="1">
        <f t="shared" si="4"/>
        <v>-3.5000000000000004</v>
      </c>
      <c r="I31" s="1"/>
      <c r="J31" s="1"/>
      <c r="K31" s="3" t="str">
        <f t="shared" ref="K31:K50" si="25">CONCATENATE("more ",B31,".[jj*] PUNC")</f>
        <v>more analogous.[jj*] PUNC</v>
      </c>
      <c r="L31" s="2">
        <v>1</v>
      </c>
      <c r="M31" s="1">
        <f t="shared" si="5"/>
        <v>0.39887435796540682</v>
      </c>
      <c r="N31" s="1">
        <f t="shared" si="6"/>
        <v>0.10473380151403819</v>
      </c>
      <c r="O31" s="1"/>
      <c r="P31" s="3" t="str">
        <f t="shared" si="7"/>
        <v>less analogous.[jj*] PUNC</v>
      </c>
      <c r="Q31" s="2">
        <v>0</v>
      </c>
      <c r="R31" s="1">
        <f t="shared" si="8"/>
        <v>-2.6134560752922145</v>
      </c>
      <c r="S31" s="1">
        <f t="shared" si="9"/>
        <v>-3.5</v>
      </c>
      <c r="T31" s="1"/>
      <c r="U31" s="3" t="str">
        <f t="shared" si="10"/>
        <v>analogous.[jj*] enough</v>
      </c>
      <c r="V31" s="2">
        <v>2</v>
      </c>
      <c r="W31" s="1">
        <f t="shared" si="11"/>
        <v>0.17123714919801802</v>
      </c>
      <c r="X31" s="1">
        <f t="shared" si="12"/>
        <v>-0.11533505664986676</v>
      </c>
      <c r="Y31" s="1"/>
      <c r="Z31" s="3" t="str">
        <f t="shared" si="13"/>
        <v>that.[r*] analogous.[jj*] PUNC</v>
      </c>
      <c r="AA31" s="2">
        <v>0</v>
      </c>
      <c r="AB31" s="1">
        <f t="shared" si="14"/>
        <v>-0.59110793989748367</v>
      </c>
      <c r="AC31" s="1">
        <f t="shared" si="15"/>
        <v>-3.5</v>
      </c>
      <c r="AD31" s="1"/>
      <c r="AE31" s="3" t="str">
        <f t="shared" si="16"/>
        <v>-a little analogous.[jj*] PUNC</v>
      </c>
      <c r="AF31" s="2">
        <v>0</v>
      </c>
      <c r="AG31" s="1">
        <f t="shared" si="17"/>
        <v>-1.6312871429486822</v>
      </c>
      <c r="AH31" s="1">
        <f t="shared" si="18"/>
        <v>-3.5000000000000004</v>
      </c>
      <c r="AI31" s="1"/>
      <c r="AJ31" s="3" t="str">
        <f t="shared" si="19"/>
        <v>no analogous.[jj*] PUNC</v>
      </c>
      <c r="AK31" s="2">
        <v>1</v>
      </c>
      <c r="AL31" s="1">
        <f t="shared" si="20"/>
        <v>0.57038291620678638</v>
      </c>
      <c r="AM31" s="1">
        <f t="shared" si="21"/>
        <v>-0.11181555837152143</v>
      </c>
      <c r="AN31" s="1"/>
      <c r="AO31" s="3" t="str">
        <f t="shared" si="22"/>
        <v>any analogous.[jj*] PUNC</v>
      </c>
      <c r="AP31" s="2">
        <v>0</v>
      </c>
      <c r="AQ31" s="1">
        <f t="shared" si="2"/>
        <v>-3.4473347941074066</v>
      </c>
      <c r="AR31" s="1">
        <f t="shared" si="23"/>
        <v>-3.5</v>
      </c>
      <c r="AS31" s="1"/>
    </row>
    <row r="32" spans="1:45" x14ac:dyDescent="0.2">
      <c r="A32" s="41"/>
      <c r="B32" t="s">
        <v>41</v>
      </c>
      <c r="C32" s="2">
        <v>11598</v>
      </c>
      <c r="D32" s="2">
        <v>1660</v>
      </c>
      <c r="E32" s="3" t="str">
        <f t="shared" si="24"/>
        <v>-very much equivalent.[jj*] PUNC</v>
      </c>
      <c r="F32" s="2">
        <v>1</v>
      </c>
      <c r="G32" s="1">
        <f t="shared" si="3"/>
        <v>-0.16899913663609478</v>
      </c>
      <c r="H32" s="1">
        <f t="shared" si="4"/>
        <v>-0.40778392649620221</v>
      </c>
      <c r="I32" s="1"/>
      <c r="J32" s="1"/>
      <c r="K32" s="3" t="str">
        <f t="shared" si="25"/>
        <v>more equivalent.[jj*] PUNC</v>
      </c>
      <c r="L32" s="2">
        <v>0</v>
      </c>
      <c r="M32" s="1">
        <f t="shared" si="5"/>
        <v>-3.025430569137892</v>
      </c>
      <c r="N32" s="1">
        <f t="shared" si="6"/>
        <v>-3.5</v>
      </c>
      <c r="O32" s="1"/>
      <c r="P32" s="3" t="str">
        <f t="shared" si="7"/>
        <v>less equivalent.[jj*] PUNC</v>
      </c>
      <c r="Q32" s="2">
        <v>2</v>
      </c>
      <c r="R32" s="1">
        <f t="shared" si="8"/>
        <v>0.55153876667474222</v>
      </c>
      <c r="S32" s="1">
        <f t="shared" si="9"/>
        <v>-0.1318691648606273</v>
      </c>
      <c r="T32" s="1"/>
      <c r="U32" s="3" t="str">
        <f t="shared" si="10"/>
        <v>equivalent.[jj*] enough</v>
      </c>
      <c r="V32" s="2">
        <v>1</v>
      </c>
      <c r="W32" s="1">
        <f t="shared" si="11"/>
        <v>-0.66129423147076238</v>
      </c>
      <c r="X32" s="1">
        <f t="shared" si="12"/>
        <v>-1.1079600235764766</v>
      </c>
      <c r="Y32" s="1"/>
      <c r="Z32" s="3" t="str">
        <f t="shared" si="13"/>
        <v>that.[r*] equivalent.[jj*] PUNC</v>
      </c>
      <c r="AA32" s="12">
        <v>1</v>
      </c>
      <c r="AB32" s="1">
        <f t="shared" si="14"/>
        <v>0.72838577512426372</v>
      </c>
      <c r="AC32" s="1">
        <f t="shared" si="15"/>
        <v>-1.0163109618281534</v>
      </c>
      <c r="AD32" s="1"/>
      <c r="AE32" s="3" t="str">
        <f t="shared" si="16"/>
        <v>-a little equivalent.[jj*] PUNC</v>
      </c>
      <c r="AF32" s="2">
        <v>0</v>
      </c>
      <c r="AG32" s="1">
        <f t="shared" si="17"/>
        <v>-1.6312871429486822</v>
      </c>
      <c r="AH32" s="1">
        <f t="shared" si="18"/>
        <v>-3.5000000000000004</v>
      </c>
      <c r="AI32" s="1"/>
      <c r="AJ32" s="3" t="str">
        <f t="shared" si="19"/>
        <v>no equivalent.[jj*] PUNC</v>
      </c>
      <c r="AK32" s="2">
        <v>10</v>
      </c>
      <c r="AL32" s="1">
        <f t="shared" si="20"/>
        <v>0.59331287685302581</v>
      </c>
      <c r="AM32" s="1">
        <f t="shared" si="21"/>
        <v>-8.741390485946253E-2</v>
      </c>
      <c r="AN32" s="1"/>
      <c r="AO32" s="3" t="str">
        <f t="shared" si="22"/>
        <v>any equivalent.[jj*] PUNC</v>
      </c>
      <c r="AP32" s="2">
        <v>1</v>
      </c>
      <c r="AQ32" s="1">
        <f t="shared" si="2"/>
        <v>-0.21778956662487214</v>
      </c>
      <c r="AR32" s="1">
        <f t="shared" si="23"/>
        <v>-0.3297463028412167</v>
      </c>
      <c r="AS32" s="1"/>
    </row>
    <row r="33" spans="1:45" x14ac:dyDescent="0.2">
      <c r="A33" s="41"/>
      <c r="B33" t="s">
        <v>43</v>
      </c>
      <c r="C33" s="2">
        <v>7907</v>
      </c>
      <c r="D33" s="2">
        <v>92</v>
      </c>
      <c r="E33" s="3" t="str">
        <f t="shared" si="24"/>
        <v>-very much parallel.[jj*] PUNC</v>
      </c>
      <c r="F33" s="2">
        <v>0</v>
      </c>
      <c r="G33" s="1">
        <f t="shared" si="3"/>
        <v>-3.7271172363632399</v>
      </c>
      <c r="H33" s="1">
        <f t="shared" si="4"/>
        <v>-3.5000000000000004</v>
      </c>
      <c r="I33" s="1"/>
      <c r="J33" s="1"/>
      <c r="K33" s="3" t="str">
        <f t="shared" si="25"/>
        <v>more parallel.[jj*] PUNC</v>
      </c>
      <c r="L33" s="2">
        <v>4</v>
      </c>
      <c r="M33" s="1">
        <f t="shared" si="5"/>
        <v>1.2801845706341082</v>
      </c>
      <c r="N33" s="1">
        <f t="shared" si="6"/>
        <v>1.032480827802903</v>
      </c>
      <c r="O33" s="1"/>
      <c r="P33" s="3" t="str">
        <f t="shared" si="7"/>
        <v>less parallel.[jj*] PUNC</v>
      </c>
      <c r="Q33" s="2">
        <v>0</v>
      </c>
      <c r="R33" s="1">
        <f t="shared" si="8"/>
        <v>-2.6134560752922145</v>
      </c>
      <c r="S33" s="1">
        <f t="shared" si="9"/>
        <v>-3.5</v>
      </c>
      <c r="T33" s="1"/>
      <c r="U33" s="3" t="str">
        <f t="shared" si="10"/>
        <v>parallel.[jj*] enough</v>
      </c>
      <c r="V33" s="2">
        <v>0</v>
      </c>
      <c r="W33" s="1">
        <f t="shared" si="11"/>
        <v>-2.6675386949288646</v>
      </c>
      <c r="X33" s="1">
        <f t="shared" si="12"/>
        <v>-3.5</v>
      </c>
      <c r="Y33" s="1"/>
      <c r="Z33" s="3" t="str">
        <f t="shared" si="13"/>
        <v>that.[r*] parallel.[jj*] PUNC</v>
      </c>
      <c r="AA33" s="2">
        <v>0</v>
      </c>
      <c r="AB33" s="1">
        <f t="shared" si="14"/>
        <v>-0.59110793989748367</v>
      </c>
      <c r="AC33" s="1">
        <f t="shared" si="15"/>
        <v>-3.5</v>
      </c>
      <c r="AD33" s="1"/>
      <c r="AE33" s="3" t="str">
        <f t="shared" si="16"/>
        <v>-a little parallel.[jj*] PUNC</v>
      </c>
      <c r="AF33" s="2">
        <v>0</v>
      </c>
      <c r="AG33" s="1">
        <f t="shared" si="17"/>
        <v>-1.6312871429486822</v>
      </c>
      <c r="AH33" s="1">
        <f t="shared" si="18"/>
        <v>-3.5000000000000004</v>
      </c>
      <c r="AI33" s="1"/>
      <c r="AJ33" s="3" t="str">
        <f t="shared" si="19"/>
        <v>no parallel.[jj*] PUNC</v>
      </c>
      <c r="AK33" s="2">
        <v>0</v>
      </c>
      <c r="AL33" s="1">
        <f t="shared" si="20"/>
        <v>-2.6134560752922145</v>
      </c>
      <c r="AM33" s="1">
        <f t="shared" si="21"/>
        <v>-3.5</v>
      </c>
      <c r="AN33" s="1"/>
      <c r="AO33" s="3" t="str">
        <f t="shared" si="22"/>
        <v>any parallel.[jj*] PUNC</v>
      </c>
      <c r="AP33" s="2">
        <v>0</v>
      </c>
      <c r="AQ33" s="1">
        <f t="shared" si="2"/>
        <v>-3.4473347941074066</v>
      </c>
      <c r="AR33" s="1">
        <f t="shared" si="23"/>
        <v>-3.5</v>
      </c>
      <c r="AS33" s="1"/>
    </row>
    <row r="34" spans="1:45" x14ac:dyDescent="0.2">
      <c r="A34" s="41"/>
      <c r="B34" t="s">
        <v>42</v>
      </c>
      <c r="C34" s="2">
        <v>15615</v>
      </c>
      <c r="D34" s="2">
        <v>2618</v>
      </c>
      <c r="E34" s="3" t="str">
        <f t="shared" si="24"/>
        <v>-very much identical.[jj*] PUNC</v>
      </c>
      <c r="F34" s="2">
        <v>1</v>
      </c>
      <c r="G34" s="1">
        <f t="shared" si="3"/>
        <v>-0.36686069081077655</v>
      </c>
      <c r="H34" s="1">
        <f t="shared" si="4"/>
        <v>-0.57973737520109814</v>
      </c>
      <c r="I34" s="1"/>
      <c r="J34" s="1"/>
      <c r="K34" s="3" t="str">
        <f t="shared" si="25"/>
        <v>more identical.[jj*] PUNC</v>
      </c>
      <c r="L34" s="2">
        <v>2</v>
      </c>
      <c r="M34" s="1">
        <f t="shared" si="5"/>
        <v>-0.47502723989905427</v>
      </c>
      <c r="N34" s="1">
        <f t="shared" si="6"/>
        <v>-0.81521424519334595</v>
      </c>
      <c r="O34" s="1"/>
      <c r="P34" s="3" t="str">
        <f t="shared" si="7"/>
        <v>less identical.[jj*] PUNC</v>
      </c>
      <c r="Q34" s="2">
        <v>5</v>
      </c>
      <c r="R34" s="1">
        <f t="shared" si="8"/>
        <v>0.75161722117209795</v>
      </c>
      <c r="S34" s="1">
        <f t="shared" si="9"/>
        <v>8.1050743603036893E-2</v>
      </c>
      <c r="T34" s="1"/>
      <c r="U34" s="3" t="str">
        <f t="shared" si="10"/>
        <v>identical.[jj*] enough</v>
      </c>
      <c r="V34" s="2">
        <v>0</v>
      </c>
      <c r="W34" s="1">
        <f t="shared" si="11"/>
        <v>-2.6675386949288646</v>
      </c>
      <c r="X34" s="1">
        <f t="shared" si="12"/>
        <v>-3.5</v>
      </c>
      <c r="Y34" s="1"/>
      <c r="Z34" s="3" t="str">
        <f t="shared" si="13"/>
        <v>that.[r*] identical.[jj*] PUNC</v>
      </c>
      <c r="AA34" s="2">
        <v>0</v>
      </c>
      <c r="AB34" s="1">
        <f t="shared" si="14"/>
        <v>-0.59110793989748367</v>
      </c>
      <c r="AC34" s="1">
        <f t="shared" si="15"/>
        <v>-3.5</v>
      </c>
      <c r="AD34" s="1"/>
      <c r="AE34" s="3" t="str">
        <f t="shared" si="16"/>
        <v>-a little identical.[jj*] PUNC</v>
      </c>
      <c r="AF34" s="2">
        <v>0</v>
      </c>
      <c r="AG34" s="1">
        <f t="shared" si="17"/>
        <v>-1.6312871429486822</v>
      </c>
      <c r="AH34" s="1">
        <f t="shared" si="18"/>
        <v>-3.5000000000000004</v>
      </c>
      <c r="AI34" s="1"/>
      <c r="AJ34" s="3" t="str">
        <f t="shared" si="19"/>
        <v>no identical.[jj*] PUNC</v>
      </c>
      <c r="AK34" s="2">
        <v>0</v>
      </c>
      <c r="AL34" s="1">
        <f t="shared" si="20"/>
        <v>-2.6134560752922145</v>
      </c>
      <c r="AM34" s="1">
        <f t="shared" si="21"/>
        <v>-3.5</v>
      </c>
      <c r="AN34" s="1"/>
      <c r="AO34" s="3" t="str">
        <f t="shared" si="22"/>
        <v>any identical.[jj*] PUNC</v>
      </c>
      <c r="AP34" s="2">
        <v>0</v>
      </c>
      <c r="AQ34" s="1">
        <f t="shared" si="2"/>
        <v>-3.4473347941074066</v>
      </c>
      <c r="AR34" s="1">
        <f t="shared" si="23"/>
        <v>-3.5</v>
      </c>
      <c r="AS34" s="1"/>
    </row>
    <row r="35" spans="1:45" x14ac:dyDescent="0.2">
      <c r="A35" s="41"/>
      <c r="B35" t="s">
        <v>40</v>
      </c>
      <c r="C35" s="2">
        <v>48524</v>
      </c>
      <c r="D35" s="2">
        <v>6192</v>
      </c>
      <c r="E35" s="3" t="str">
        <f t="shared" si="24"/>
        <v>-very much equal.[jj*] PUNC</v>
      </c>
      <c r="F35" s="2">
        <v>7</v>
      </c>
      <c r="G35" s="1">
        <f t="shared" si="3"/>
        <v>0.10437604374338072</v>
      </c>
      <c r="H35" s="1">
        <f t="shared" si="4"/>
        <v>-0.17020464914415509</v>
      </c>
      <c r="I35" s="1"/>
      <c r="J35" s="1"/>
      <c r="K35" s="3" t="str">
        <f t="shared" si="25"/>
        <v>more equal.[jj*] PUNC</v>
      </c>
      <c r="L35" s="2">
        <v>82</v>
      </c>
      <c r="M35" s="1">
        <f t="shared" si="5"/>
        <v>0.76389531136058153</v>
      </c>
      <c r="N35" s="1">
        <f t="shared" si="6"/>
        <v>0.4889879485527297</v>
      </c>
      <c r="O35" s="1"/>
      <c r="P35" s="3" t="str">
        <f t="shared" si="7"/>
        <v>less equal.[jj*] PUNC</v>
      </c>
      <c r="Q35" s="2">
        <v>20</v>
      </c>
      <c r="R35" s="1">
        <f t="shared" si="8"/>
        <v>0.97981590703995991</v>
      </c>
      <c r="S35" s="1">
        <f t="shared" si="9"/>
        <v>0.32389569874115137</v>
      </c>
      <c r="T35" s="1"/>
      <c r="U35" s="3" t="str">
        <f t="shared" si="10"/>
        <v>equal.[jj*] enough</v>
      </c>
      <c r="V35" s="2">
        <v>10</v>
      </c>
      <c r="W35" s="1">
        <f t="shared" si="11"/>
        <v>-0.2828677211147026</v>
      </c>
      <c r="X35" s="1">
        <f t="shared" si="12"/>
        <v>-0.65676309448944981</v>
      </c>
      <c r="Y35" s="1"/>
      <c r="Z35" s="3" t="str">
        <f t="shared" si="13"/>
        <v>that.[r*] equal.[jj*] PUNC</v>
      </c>
      <c r="AA35" s="12">
        <v>5</v>
      </c>
      <c r="AB35" s="1">
        <f t="shared" si="14"/>
        <v>0.85563291982550105</v>
      </c>
      <c r="AC35" s="1">
        <f t="shared" si="15"/>
        <v>-0.77679308096585531</v>
      </c>
      <c r="AD35" s="1"/>
      <c r="AE35" s="3" t="str">
        <f t="shared" si="16"/>
        <v>-a little equal.[jj*] PUNC</v>
      </c>
      <c r="AF35" s="2">
        <v>0</v>
      </c>
      <c r="AG35" s="1">
        <f t="shared" si="17"/>
        <v>-1.6312871429486822</v>
      </c>
      <c r="AH35" s="1">
        <f t="shared" si="18"/>
        <v>-3.5000000000000004</v>
      </c>
      <c r="AI35" s="1"/>
      <c r="AJ35" s="3" t="str">
        <f t="shared" si="19"/>
        <v>no equal.[jj*] PUNC</v>
      </c>
      <c r="AK35" s="2">
        <v>59</v>
      </c>
      <c r="AL35" s="1">
        <f t="shared" si="20"/>
        <v>0.79244202886038906</v>
      </c>
      <c r="AM35" s="1">
        <f t="shared" si="21"/>
        <v>0.12449577289354713</v>
      </c>
      <c r="AN35" s="1"/>
      <c r="AO35" s="3" t="str">
        <f t="shared" si="22"/>
        <v>any equal.[jj*] PUNC</v>
      </c>
      <c r="AP35" s="2">
        <v>1</v>
      </c>
      <c r="AQ35" s="1">
        <f t="shared" si="2"/>
        <v>-0.78951242625965357</v>
      </c>
      <c r="AR35" s="1">
        <f t="shared" si="23"/>
        <v>-0.89097284770686214</v>
      </c>
      <c r="AS35" s="1"/>
    </row>
    <row r="36" spans="1:45" x14ac:dyDescent="0.2">
      <c r="A36" s="41"/>
      <c r="B36" t="s">
        <v>45</v>
      </c>
      <c r="C36" s="2">
        <v>129279</v>
      </c>
      <c r="D36" s="2">
        <v>7256</v>
      </c>
      <c r="E36" s="3" t="str">
        <f t="shared" si="24"/>
        <v>-very much similar.[jj*] PUNC</v>
      </c>
      <c r="F36" s="2">
        <v>1</v>
      </c>
      <c r="G36" s="1">
        <f t="shared" si="3"/>
        <v>-0.80958832264807867</v>
      </c>
      <c r="H36" s="1">
        <f t="shared" si="4"/>
        <v>-0.96449399681423686</v>
      </c>
      <c r="I36" s="1"/>
      <c r="J36" s="1"/>
      <c r="K36" s="3" t="str">
        <f t="shared" si="25"/>
        <v>more similar.[jj*] PUNC</v>
      </c>
      <c r="L36" s="2">
        <v>38</v>
      </c>
      <c r="M36" s="1">
        <f t="shared" si="5"/>
        <v>0.36099872921647247</v>
      </c>
      <c r="N36" s="1">
        <f t="shared" si="6"/>
        <v>6.4862481023787388E-2</v>
      </c>
      <c r="O36" s="1"/>
      <c r="P36" s="3" t="str">
        <f t="shared" si="7"/>
        <v>less similar.[jj*] PUNC</v>
      </c>
      <c r="Q36" s="2">
        <v>6</v>
      </c>
      <c r="R36" s="1">
        <f t="shared" si="8"/>
        <v>0.38807083538241915</v>
      </c>
      <c r="S36" s="1">
        <f t="shared" si="9"/>
        <v>-0.30582881011551388</v>
      </c>
      <c r="T36" s="1"/>
      <c r="U36" s="3" t="str">
        <f t="shared" si="10"/>
        <v>similar.[jj*] enough</v>
      </c>
      <c r="V36" s="2">
        <v>139</v>
      </c>
      <c r="W36" s="1">
        <f t="shared" si="11"/>
        <v>0.43457568911032585</v>
      </c>
      <c r="X36" s="1">
        <f t="shared" si="12"/>
        <v>0.19864278915934955</v>
      </c>
      <c r="Y36" s="1"/>
      <c r="Z36" s="3" t="str">
        <f t="shared" si="13"/>
        <v>that.[r*] similar.[jj*] PUNC</v>
      </c>
      <c r="AA36" s="12">
        <v>5</v>
      </c>
      <c r="AB36" s="1">
        <f t="shared" si="14"/>
        <v>0.78676659344829858</v>
      </c>
      <c r="AC36" s="1">
        <f t="shared" si="15"/>
        <v>-0.90642048121414176</v>
      </c>
      <c r="AD36" s="1"/>
      <c r="AE36" s="3" t="str">
        <f t="shared" si="16"/>
        <v>-a little similar.[jj*] PUNC</v>
      </c>
      <c r="AF36" s="2">
        <v>0</v>
      </c>
      <c r="AG36" s="1">
        <f t="shared" si="17"/>
        <v>-1.6312871429486822</v>
      </c>
      <c r="AH36" s="1">
        <f t="shared" si="18"/>
        <v>-3.5000000000000004</v>
      </c>
      <c r="AI36" s="1"/>
      <c r="AJ36" s="3" t="str">
        <f t="shared" si="19"/>
        <v>no similar.[jj*] PUNC</v>
      </c>
      <c r="AK36" s="2">
        <v>3</v>
      </c>
      <c r="AL36" s="1">
        <f t="shared" si="20"/>
        <v>-0.57015505443929726</v>
      </c>
      <c r="AM36" s="1">
        <f t="shared" si="21"/>
        <v>-1.3255556430766786</v>
      </c>
      <c r="AN36" s="1"/>
      <c r="AO36" s="3" t="str">
        <f t="shared" si="22"/>
        <v>any similar.[jj*] PUNC</v>
      </c>
      <c r="AP36" s="2">
        <v>0</v>
      </c>
      <c r="AQ36" s="1">
        <f t="shared" si="2"/>
        <v>-3.4473347941074066</v>
      </c>
      <c r="AR36" s="1">
        <f t="shared" si="23"/>
        <v>-3.5</v>
      </c>
      <c r="AS36" s="1"/>
    </row>
    <row r="37" spans="1:45" x14ac:dyDescent="0.2">
      <c r="A37" s="41">
        <v>6</v>
      </c>
      <c r="B37" t="s">
        <v>47</v>
      </c>
      <c r="C37" s="2">
        <v>2725</v>
      </c>
      <c r="D37" s="2">
        <v>1535</v>
      </c>
      <c r="E37" s="3" t="str">
        <f t="shared" si="24"/>
        <v>-very much afloat.[jj*] PUNC</v>
      </c>
      <c r="F37" s="2">
        <v>1</v>
      </c>
      <c r="G37" s="1">
        <f t="shared" si="3"/>
        <v>-0.1349994284092455</v>
      </c>
      <c r="H37" s="1">
        <f t="shared" si="4"/>
        <v>-0.37823615957931295</v>
      </c>
      <c r="I37" s="1">
        <f>AVERAGE(H37:H43)</f>
        <v>-1.4459916780951432</v>
      </c>
      <c r="J37" s="1"/>
      <c r="K37" s="3" t="str">
        <f t="shared" si="25"/>
        <v>more afloat.[jj*] PUNC</v>
      </c>
      <c r="L37" s="2">
        <v>0</v>
      </c>
      <c r="M37" s="1">
        <f t="shared" si="5"/>
        <v>-3.025430569137892</v>
      </c>
      <c r="N37" s="1">
        <f t="shared" si="6"/>
        <v>-3.5</v>
      </c>
      <c r="O37" s="1">
        <f>AVERAGE(N37:N43)</f>
        <v>-1.8190594461321024</v>
      </c>
      <c r="P37" s="3" t="str">
        <f t="shared" si="7"/>
        <v>less afloat.[jj*] PUNC</v>
      </c>
      <c r="Q37" s="2">
        <v>0</v>
      </c>
      <c r="R37" s="1">
        <f t="shared" si="8"/>
        <v>-2.6134560752922145</v>
      </c>
      <c r="S37" s="1">
        <f t="shared" si="9"/>
        <v>-3.5</v>
      </c>
      <c r="T37" s="1">
        <f>AVERAGE(S37:S43)</f>
        <v>-1.7122665170124587</v>
      </c>
      <c r="U37" s="3" t="str">
        <f t="shared" si="10"/>
        <v>afloat.[jj*] enough</v>
      </c>
      <c r="V37" s="2">
        <v>0</v>
      </c>
      <c r="W37" s="1">
        <f t="shared" si="11"/>
        <v>-2.6675386949288646</v>
      </c>
      <c r="X37" s="1">
        <f t="shared" si="12"/>
        <v>-3.5</v>
      </c>
      <c r="Y37" s="1">
        <f>AVERAGE(X37:X43)</f>
        <v>-2.337086680945923</v>
      </c>
      <c r="Z37" s="3" t="str">
        <f t="shared" si="13"/>
        <v>that.[r*] afloat.[jj*] PUNC</v>
      </c>
      <c r="AA37" s="2">
        <v>0</v>
      </c>
      <c r="AB37" s="1">
        <f t="shared" si="14"/>
        <v>-0.59110793989748367</v>
      </c>
      <c r="AC37" s="1">
        <f t="shared" si="15"/>
        <v>-3.5</v>
      </c>
      <c r="AD37" s="1">
        <f>AVERAGE(AC37:AC43)</f>
        <v>-2.3197846169694492</v>
      </c>
      <c r="AE37" s="3" t="str">
        <f t="shared" si="16"/>
        <v>-a little afloat.[jj*] PUNC</v>
      </c>
      <c r="AF37" s="2">
        <v>0</v>
      </c>
      <c r="AG37" s="1">
        <f t="shared" si="17"/>
        <v>-1.6312871429486822</v>
      </c>
      <c r="AH37" s="1">
        <f t="shared" si="18"/>
        <v>-3.5000000000000004</v>
      </c>
      <c r="AI37" s="1">
        <f>AVERAGE(AH37:AH43)</f>
        <v>-3.5000000000000004</v>
      </c>
      <c r="AJ37" s="3" t="str">
        <f t="shared" si="19"/>
        <v>no afloat.[jj*] PUNC</v>
      </c>
      <c r="AK37" s="2">
        <v>0</v>
      </c>
      <c r="AL37" s="1">
        <f t="shared" si="20"/>
        <v>-2.6134560752922145</v>
      </c>
      <c r="AM37" s="1">
        <f t="shared" si="21"/>
        <v>-3.5</v>
      </c>
      <c r="AN37" s="1">
        <f>AVERAGE(AM37:AM43)</f>
        <v>-3.1739710181044285</v>
      </c>
      <c r="AO37" s="3" t="str">
        <f t="shared" si="22"/>
        <v>any afloat.[jj*] PUNC</v>
      </c>
      <c r="AP37" s="2">
        <v>1</v>
      </c>
      <c r="AQ37" s="1">
        <f t="shared" si="2"/>
        <v>-0.18378985839802287</v>
      </c>
      <c r="AR37" s="1">
        <f t="shared" si="23"/>
        <v>-0.29637079851594966</v>
      </c>
      <c r="AS37" s="1">
        <f>AVERAGE(AR37:AR43)</f>
        <v>-2.7849554594251886</v>
      </c>
    </row>
    <row r="38" spans="1:45" x14ac:dyDescent="0.2">
      <c r="A38" s="41"/>
      <c r="B38" t="s">
        <v>48</v>
      </c>
      <c r="C38" s="2">
        <v>78943</v>
      </c>
      <c r="D38" s="2">
        <v>12485</v>
      </c>
      <c r="E38" s="3" t="str">
        <f t="shared" si="24"/>
        <v>-very much afraid.[jj*] PUNC</v>
      </c>
      <c r="F38" s="2">
        <v>11</v>
      </c>
      <c r="G38" s="1">
        <f t="shared" si="3"/>
        <v>-3.8869101251828297E-3</v>
      </c>
      <c r="H38" s="1">
        <f t="shared" si="4"/>
        <v>-0.26429158969372385</v>
      </c>
      <c r="I38" s="1"/>
      <c r="J38" s="1"/>
      <c r="K38" s="3" t="str">
        <f t="shared" si="25"/>
        <v>more afraid.[jj*] PUNC</v>
      </c>
      <c r="L38" s="2">
        <v>59</v>
      </c>
      <c r="M38" s="1">
        <f t="shared" si="5"/>
        <v>0.31637587160647929</v>
      </c>
      <c r="N38" s="1">
        <f t="shared" si="6"/>
        <v>1.7888415754734325E-2</v>
      </c>
      <c r="O38" s="1"/>
      <c r="P38" s="3" t="str">
        <f t="shared" si="7"/>
        <v>less afraid.[jj*] PUNC</v>
      </c>
      <c r="Q38" s="2">
        <v>50</v>
      </c>
      <c r="R38" s="1">
        <f t="shared" si="8"/>
        <v>1.0731983166994672</v>
      </c>
      <c r="S38" s="1">
        <f t="shared" si="9"/>
        <v>0.42327158689847144</v>
      </c>
      <c r="T38" s="1"/>
      <c r="U38" s="3" t="str">
        <f t="shared" si="10"/>
        <v>afraid.[jj*] enough</v>
      </c>
      <c r="V38" s="2">
        <v>14</v>
      </c>
      <c r="W38" s="1">
        <f t="shared" si="11"/>
        <v>-0.3480967178569685</v>
      </c>
      <c r="X38" s="1">
        <f t="shared" si="12"/>
        <v>-0.73453545507234463</v>
      </c>
      <c r="Y38" s="1"/>
      <c r="Z38" s="3" t="str">
        <f t="shared" si="13"/>
        <v>that.[r*] afraid.[jj*] PUNC</v>
      </c>
      <c r="AA38" s="12">
        <v>6</v>
      </c>
      <c r="AB38" s="1">
        <f t="shared" si="14"/>
        <v>0.63025656686059417</v>
      </c>
      <c r="AC38" s="1">
        <f t="shared" si="15"/>
        <v>-1.2010200181232349</v>
      </c>
      <c r="AD38" s="1"/>
      <c r="AE38" s="3" t="str">
        <f t="shared" si="16"/>
        <v>-a little afraid.[jj*] PUNC</v>
      </c>
      <c r="AF38" s="2">
        <v>0</v>
      </c>
      <c r="AG38" s="1">
        <f t="shared" si="17"/>
        <v>-1.6312871429486822</v>
      </c>
      <c r="AH38" s="1">
        <f t="shared" si="18"/>
        <v>-3.5000000000000004</v>
      </c>
      <c r="AI38" s="1"/>
      <c r="AJ38" s="3" t="str">
        <f t="shared" si="19"/>
        <v>no afraid.[jj*] PUNC</v>
      </c>
      <c r="AK38" s="2">
        <v>1</v>
      </c>
      <c r="AL38" s="1">
        <f t="shared" si="20"/>
        <v>-1.2829675817942858</v>
      </c>
      <c r="AM38" s="1">
        <f t="shared" si="21"/>
        <v>-2.0841179703270778</v>
      </c>
      <c r="AN38" s="1"/>
      <c r="AO38" s="3" t="str">
        <f t="shared" si="22"/>
        <v>any afraid.[jj*] PUNC</v>
      </c>
      <c r="AP38" s="2">
        <v>0</v>
      </c>
      <c r="AQ38" s="1">
        <f t="shared" si="2"/>
        <v>-3.4473347941074066</v>
      </c>
      <c r="AR38" s="1">
        <f t="shared" si="23"/>
        <v>-3.5</v>
      </c>
      <c r="AS38" s="1"/>
    </row>
    <row r="39" spans="1:45" x14ac:dyDescent="0.2">
      <c r="A39" s="41"/>
      <c r="B39" t="s">
        <v>50</v>
      </c>
      <c r="C39" s="2">
        <v>69262</v>
      </c>
      <c r="D39" s="2">
        <v>41141</v>
      </c>
      <c r="E39" s="3" t="str">
        <f t="shared" si="24"/>
        <v>-very much alive.[jj*] PUNC</v>
      </c>
      <c r="F39" s="2">
        <v>11</v>
      </c>
      <c r="G39" s="1">
        <f t="shared" si="3"/>
        <v>-0.52177320716997144</v>
      </c>
      <c r="H39" s="1">
        <f t="shared" si="4"/>
        <v>-0.71436555775343002</v>
      </c>
      <c r="I39" s="1"/>
      <c r="J39" s="1"/>
      <c r="K39" s="3" t="str">
        <f t="shared" si="25"/>
        <v>more alive.[jj*] PUNC</v>
      </c>
      <c r="L39" s="2">
        <v>184</v>
      </c>
      <c r="M39" s="1">
        <f t="shared" si="5"/>
        <v>0.29245538592908282</v>
      </c>
      <c r="N39" s="1">
        <f t="shared" si="6"/>
        <v>-7.2924560150250707E-3</v>
      </c>
      <c r="O39" s="1"/>
      <c r="P39" s="3" t="str">
        <f t="shared" si="7"/>
        <v>less alive.[jj*] PUNC</v>
      </c>
      <c r="Q39" s="2">
        <v>16</v>
      </c>
      <c r="R39" s="1">
        <f t="shared" si="8"/>
        <v>6.0461997974584847E-2</v>
      </c>
      <c r="S39" s="1">
        <f t="shared" si="9"/>
        <v>-0.65446426838113847</v>
      </c>
      <c r="T39" s="1"/>
      <c r="U39" s="3" t="str">
        <f t="shared" si="10"/>
        <v>alive.[jj*] enough</v>
      </c>
      <c r="V39" s="2">
        <v>22</v>
      </c>
      <c r="W39" s="1">
        <f t="shared" si="11"/>
        <v>-9.498347425868392E-2</v>
      </c>
      <c r="X39" s="1">
        <f t="shared" si="12"/>
        <v>-0.43274920305911069</v>
      </c>
      <c r="Y39" s="1"/>
      <c r="Z39" s="3" t="str">
        <f t="shared" si="13"/>
        <v>that.[r*] alive.[jj*] PUNC</v>
      </c>
      <c r="AA39" s="12">
        <v>11</v>
      </c>
      <c r="AB39" s="1">
        <f t="shared" si="14"/>
        <v>0.37561170459038706</v>
      </c>
      <c r="AC39" s="1">
        <f t="shared" si="15"/>
        <v>-1.6803392038435467</v>
      </c>
      <c r="AD39" s="1"/>
      <c r="AE39" s="3" t="str">
        <f t="shared" si="16"/>
        <v>-a little alive.[jj*] PUNC</v>
      </c>
      <c r="AF39" s="2">
        <v>0</v>
      </c>
      <c r="AG39" s="1">
        <f t="shared" si="17"/>
        <v>-1.6312871429486822</v>
      </c>
      <c r="AH39" s="1">
        <f t="shared" si="18"/>
        <v>-3.5000000000000004</v>
      </c>
      <c r="AI39" s="1"/>
      <c r="AJ39" s="3" t="str">
        <f t="shared" si="19"/>
        <v>no alive.[jj*] PUNC</v>
      </c>
      <c r="AK39" s="2">
        <v>0</v>
      </c>
      <c r="AL39" s="1">
        <f t="shared" si="20"/>
        <v>-2.6134560752922145</v>
      </c>
      <c r="AM39" s="1">
        <f t="shared" si="21"/>
        <v>-3.5</v>
      </c>
      <c r="AN39" s="1"/>
      <c r="AO39" s="3" t="str">
        <f t="shared" si="22"/>
        <v>any alive.[jj*] PUNC</v>
      </c>
      <c r="AP39" s="2">
        <v>1</v>
      </c>
      <c r="AQ39" s="1">
        <f t="shared" si="2"/>
        <v>-1.6119563223169724</v>
      </c>
      <c r="AR39" s="1">
        <f t="shared" si="23"/>
        <v>-1.6983174174603723</v>
      </c>
      <c r="AS39" s="1"/>
    </row>
    <row r="40" spans="1:45" x14ac:dyDescent="0.2">
      <c r="A40" s="41"/>
      <c r="B40" t="s">
        <v>51</v>
      </c>
      <c r="C40" s="2">
        <v>68251</v>
      </c>
      <c r="D40" s="2">
        <v>41002</v>
      </c>
      <c r="E40" s="3" t="str">
        <f t="shared" si="24"/>
        <v>-very much alone.[jj*] PUNC</v>
      </c>
      <c r="F40" s="2">
        <v>15</v>
      </c>
      <c r="G40" s="1">
        <f t="shared" si="3"/>
        <v>-0.38560483084008101</v>
      </c>
      <c r="H40" s="1">
        <f t="shared" si="4"/>
        <v>-0.59602714677643343</v>
      </c>
      <c r="I40" s="1"/>
      <c r="J40" s="1"/>
      <c r="K40" s="3" t="str">
        <f t="shared" si="25"/>
        <v>more alone.[jj*] PUNC</v>
      </c>
      <c r="L40" s="2">
        <v>39</v>
      </c>
      <c r="M40" s="1">
        <f t="shared" si="5"/>
        <v>-0.37982802762152001</v>
      </c>
      <c r="N40" s="1">
        <f t="shared" si="6"/>
        <v>-0.71499892392970144</v>
      </c>
      <c r="O40" s="1"/>
      <c r="P40" s="3" t="str">
        <f t="shared" si="7"/>
        <v>less alone.[jj*] PUNC</v>
      </c>
      <c r="Q40" s="2">
        <v>87</v>
      </c>
      <c r="R40" s="1">
        <f t="shared" si="8"/>
        <v>0.79733107036971251</v>
      </c>
      <c r="S40" s="1">
        <f t="shared" si="9"/>
        <v>0.12969860331951866</v>
      </c>
      <c r="T40" s="1"/>
      <c r="U40" s="3" t="str">
        <f t="shared" si="10"/>
        <v>alone.[jj*] enough</v>
      </c>
      <c r="V40" s="2">
        <v>5</v>
      </c>
      <c r="W40" s="1">
        <f t="shared" si="11"/>
        <v>-0.73205014167783578</v>
      </c>
      <c r="X40" s="1">
        <f t="shared" si="12"/>
        <v>-1.1923221084900071</v>
      </c>
      <c r="Y40" s="1"/>
      <c r="Z40" s="3" t="str">
        <f t="shared" si="13"/>
        <v>that.[r*] alone.[jj*] PUNC</v>
      </c>
      <c r="AA40" s="12">
        <v>188</v>
      </c>
      <c r="AB40" s="1">
        <f t="shared" si="14"/>
        <v>1.6098466711282762</v>
      </c>
      <c r="AC40" s="1">
        <f t="shared" si="15"/>
        <v>0.64286690318063677</v>
      </c>
      <c r="AD40" s="1"/>
      <c r="AE40" s="3" t="str">
        <f t="shared" si="16"/>
        <v>-a little alone.[jj*] PUNC</v>
      </c>
      <c r="AF40" s="2">
        <v>0</v>
      </c>
      <c r="AG40" s="1">
        <f t="shared" si="17"/>
        <v>-1.6312871429486822</v>
      </c>
      <c r="AH40" s="1">
        <f t="shared" si="18"/>
        <v>-3.5000000000000004</v>
      </c>
      <c r="AI40" s="1"/>
      <c r="AJ40" s="3" t="str">
        <f t="shared" si="19"/>
        <v>no alone.[jj*] PUNC</v>
      </c>
      <c r="AK40" s="2">
        <v>1</v>
      </c>
      <c r="AL40" s="1">
        <f t="shared" si="20"/>
        <v>-1.79938407640664</v>
      </c>
      <c r="AM40" s="1">
        <f t="shared" si="21"/>
        <v>-2.6336791564039226</v>
      </c>
      <c r="AN40" s="1"/>
      <c r="AO40" s="3" t="str">
        <f t="shared" si="22"/>
        <v>any alone.[jj*] PUNC</v>
      </c>
      <c r="AP40" s="2">
        <v>0</v>
      </c>
      <c r="AQ40" s="1">
        <f t="shared" si="2"/>
        <v>-3.4473347941074066</v>
      </c>
      <c r="AR40" s="1">
        <f t="shared" si="23"/>
        <v>-3.5</v>
      </c>
      <c r="AS40" s="1"/>
    </row>
    <row r="41" spans="1:45" x14ac:dyDescent="0.2">
      <c r="A41" s="41"/>
      <c r="B41" t="s">
        <v>52</v>
      </c>
      <c r="C41" s="2">
        <v>24850</v>
      </c>
      <c r="D41" s="2">
        <v>12475</v>
      </c>
      <c r="E41" s="3" t="str">
        <f t="shared" si="24"/>
        <v>-very much asleep.[jj*] PUNC</v>
      </c>
      <c r="F41" s="2">
        <v>1</v>
      </c>
      <c r="G41" s="1">
        <f t="shared" si="3"/>
        <v>-1.0449316028914675</v>
      </c>
      <c r="H41" s="1">
        <f t="shared" si="4"/>
        <v>-1.169021292863101</v>
      </c>
      <c r="I41" s="1"/>
      <c r="J41" s="1"/>
      <c r="K41" s="3" t="str">
        <f t="shared" si="25"/>
        <v>more asleep.[jj*] PUNC</v>
      </c>
      <c r="L41" s="2">
        <v>2</v>
      </c>
      <c r="M41" s="1">
        <f t="shared" si="5"/>
        <v>-1.1530981519797452</v>
      </c>
      <c r="N41" s="1">
        <f t="shared" si="6"/>
        <v>-1.5290131587347233</v>
      </c>
      <c r="O41" s="1"/>
      <c r="P41" s="3" t="str">
        <f t="shared" si="7"/>
        <v>less asleep.[jj*] PUNC</v>
      </c>
      <c r="Q41" s="2">
        <v>1</v>
      </c>
      <c r="R41" s="1">
        <f t="shared" si="8"/>
        <v>-0.62542369524461172</v>
      </c>
      <c r="S41" s="1">
        <f t="shared" si="9"/>
        <v>-1.3843715409240613</v>
      </c>
      <c r="T41" s="1"/>
      <c r="U41" s="3" t="str">
        <f t="shared" si="10"/>
        <v>asleep.[jj*] enough</v>
      </c>
      <c r="V41" s="2">
        <v>0</v>
      </c>
      <c r="W41" s="1">
        <f t="shared" si="11"/>
        <v>-2.6675386949288646</v>
      </c>
      <c r="X41" s="1">
        <f t="shared" si="12"/>
        <v>-3.5</v>
      </c>
      <c r="Y41" s="1"/>
      <c r="Z41" s="3" t="str">
        <f t="shared" si="13"/>
        <v>that.[r*] asleep.[jj*] PUNC</v>
      </c>
      <c r="AA41" s="2">
        <v>0</v>
      </c>
      <c r="AB41" s="1">
        <f t="shared" si="14"/>
        <v>-0.59110793989748367</v>
      </c>
      <c r="AC41" s="1">
        <f t="shared" si="15"/>
        <v>-3.5</v>
      </c>
      <c r="AD41" s="1"/>
      <c r="AE41" s="3" t="str">
        <f t="shared" si="16"/>
        <v>-a little asleep.[jj*] PUNC</v>
      </c>
      <c r="AF41" s="2">
        <v>0</v>
      </c>
      <c r="AG41" s="1">
        <f t="shared" si="17"/>
        <v>-1.6312871429486822</v>
      </c>
      <c r="AH41" s="1">
        <f t="shared" si="18"/>
        <v>-3.5000000000000004</v>
      </c>
      <c r="AI41" s="1"/>
      <c r="AJ41" s="3" t="str">
        <f t="shared" si="19"/>
        <v>no asleep.[jj*] PUNC</v>
      </c>
      <c r="AK41" s="2">
        <v>0</v>
      </c>
      <c r="AL41" s="1">
        <f t="shared" si="20"/>
        <v>-2.6134560752922145</v>
      </c>
      <c r="AM41" s="1">
        <f t="shared" si="21"/>
        <v>-3.5</v>
      </c>
      <c r="AN41" s="1"/>
      <c r="AO41" s="3" t="str">
        <f t="shared" si="22"/>
        <v>any asleep.[jj*] PUNC</v>
      </c>
      <c r="AP41" s="2">
        <v>0</v>
      </c>
      <c r="AQ41" s="1">
        <f t="shared" si="2"/>
        <v>-3.4473347941074066</v>
      </c>
      <c r="AR41" s="1">
        <f t="shared" si="23"/>
        <v>-3.5</v>
      </c>
      <c r="AS41" s="1"/>
    </row>
    <row r="42" spans="1:45" x14ac:dyDescent="0.2">
      <c r="A42" s="41"/>
      <c r="B42" t="s">
        <v>53</v>
      </c>
      <c r="C42" s="2">
        <v>928</v>
      </c>
      <c r="D42" s="2">
        <v>142</v>
      </c>
      <c r="E42" s="3" t="str">
        <f t="shared" si="24"/>
        <v>-very much averse.[jj*] PUNC</v>
      </c>
      <c r="F42" s="2">
        <v>0</v>
      </c>
      <c r="G42" s="1">
        <f t="shared" si="3"/>
        <v>-3.7271172363632399</v>
      </c>
      <c r="H42" s="1">
        <f t="shared" si="4"/>
        <v>-3.5000000000000004</v>
      </c>
      <c r="I42" s="1"/>
      <c r="J42" s="1"/>
      <c r="K42" s="3" t="str">
        <f t="shared" si="25"/>
        <v>more averse.[jj*] PUNC</v>
      </c>
      <c r="L42" s="2">
        <v>0</v>
      </c>
      <c r="M42" s="1">
        <f t="shared" si="5"/>
        <v>-3.025430569137892</v>
      </c>
      <c r="N42" s="1">
        <f t="shared" si="6"/>
        <v>-3.5</v>
      </c>
      <c r="O42" s="1"/>
      <c r="P42" s="3" t="str">
        <f t="shared" si="7"/>
        <v>less averse.[jj*] PUNC</v>
      </c>
      <c r="Q42" s="2">
        <v>0</v>
      </c>
      <c r="R42" s="1">
        <f t="shared" si="8"/>
        <v>-2.6134560752922145</v>
      </c>
      <c r="S42" s="1">
        <f t="shared" si="9"/>
        <v>-3.5</v>
      </c>
      <c r="T42" s="1"/>
      <c r="U42" s="3" t="str">
        <f t="shared" si="10"/>
        <v>averse.[jj*] enough</v>
      </c>
      <c r="V42" s="2">
        <v>0</v>
      </c>
      <c r="W42" s="1">
        <f t="shared" si="11"/>
        <v>-2.6675386949288646</v>
      </c>
      <c r="X42" s="1">
        <f t="shared" si="12"/>
        <v>-3.5</v>
      </c>
      <c r="Y42" s="1"/>
      <c r="Z42" s="3" t="str">
        <f t="shared" si="13"/>
        <v>that.[r*] averse.[jj*] PUNC</v>
      </c>
      <c r="AA42" s="2">
        <v>0</v>
      </c>
      <c r="AB42" s="1">
        <f t="shared" si="14"/>
        <v>-0.59110793989748367</v>
      </c>
      <c r="AC42" s="1">
        <f t="shared" si="15"/>
        <v>-3.5</v>
      </c>
      <c r="AD42" s="1"/>
      <c r="AE42" s="3" t="str">
        <f t="shared" si="16"/>
        <v>-a little averse.[jj*] PUNC</v>
      </c>
      <c r="AF42" s="2">
        <v>0</v>
      </c>
      <c r="AG42" s="1">
        <f t="shared" si="17"/>
        <v>-1.6312871429486822</v>
      </c>
      <c r="AH42" s="1">
        <f t="shared" si="18"/>
        <v>-3.5000000000000004</v>
      </c>
      <c r="AI42" s="1"/>
      <c r="AJ42" s="3" t="str">
        <f t="shared" si="19"/>
        <v>no averse.[jj*] PUNC</v>
      </c>
      <c r="AK42" s="2">
        <v>0</v>
      </c>
      <c r="AL42" s="1">
        <f t="shared" si="20"/>
        <v>-2.6134560752922145</v>
      </c>
      <c r="AM42" s="1">
        <f t="shared" si="21"/>
        <v>-3.5</v>
      </c>
      <c r="AN42" s="1"/>
      <c r="AO42" s="3" t="str">
        <f t="shared" si="22"/>
        <v>any averse.[jj*] PUNC</v>
      </c>
      <c r="AP42" s="2">
        <v>0</v>
      </c>
      <c r="AQ42" s="1">
        <f t="shared" si="2"/>
        <v>-3.4473347941074066</v>
      </c>
      <c r="AR42" s="1">
        <f t="shared" si="23"/>
        <v>-3.5</v>
      </c>
      <c r="AS42" s="1"/>
    </row>
    <row r="43" spans="1:45" x14ac:dyDescent="0.2">
      <c r="A43" s="41"/>
      <c r="B43" t="s">
        <v>54</v>
      </c>
      <c r="C43" s="2">
        <v>1018</v>
      </c>
      <c r="D43" s="2">
        <v>440</v>
      </c>
      <c r="E43" s="3" t="str">
        <f t="shared" si="24"/>
        <v>-very much ablaze.[jj*] PUNC</v>
      </c>
      <c r="F43" s="2">
        <v>0</v>
      </c>
      <c r="G43" s="1">
        <f t="shared" si="3"/>
        <v>-3.7271172363632399</v>
      </c>
      <c r="H43" s="1">
        <f t="shared" si="4"/>
        <v>-3.5000000000000004</v>
      </c>
      <c r="I43" s="1"/>
      <c r="J43" s="1"/>
      <c r="K43" s="3" t="str">
        <f t="shared" si="25"/>
        <v>more ablaze.[jj*] PUNC</v>
      </c>
      <c r="L43" s="2">
        <v>0</v>
      </c>
      <c r="M43" s="1">
        <f t="shared" si="5"/>
        <v>-3.025430569137892</v>
      </c>
      <c r="N43" s="1">
        <f t="shared" si="6"/>
        <v>-3.5</v>
      </c>
      <c r="O43" s="1"/>
      <c r="P43" s="3" t="str">
        <f t="shared" si="7"/>
        <v>less ablaze.[jj*] PUNC</v>
      </c>
      <c r="Q43" s="2">
        <v>0</v>
      </c>
      <c r="R43" s="1">
        <f t="shared" si="8"/>
        <v>-2.6134560752922145</v>
      </c>
      <c r="S43" s="1">
        <f t="shared" si="9"/>
        <v>-3.5</v>
      </c>
      <c r="T43" s="1"/>
      <c r="U43" s="3" t="str">
        <f t="shared" si="10"/>
        <v>ablaze.[jj*] enough</v>
      </c>
      <c r="V43" s="2">
        <v>0</v>
      </c>
      <c r="W43" s="1">
        <f t="shared" si="11"/>
        <v>-2.6675386949288646</v>
      </c>
      <c r="X43" s="1">
        <f t="shared" si="12"/>
        <v>-3.5</v>
      </c>
      <c r="Y43" s="1"/>
      <c r="Z43" s="3" t="str">
        <f t="shared" si="13"/>
        <v>that.[r*] ablaze.[jj*] PUNC</v>
      </c>
      <c r="AA43" s="2">
        <v>0</v>
      </c>
      <c r="AB43" s="1">
        <f t="shared" si="14"/>
        <v>-0.59110793989748367</v>
      </c>
      <c r="AC43" s="1">
        <f t="shared" si="15"/>
        <v>-3.5</v>
      </c>
      <c r="AD43" s="1"/>
      <c r="AE43" s="3" t="str">
        <f t="shared" si="16"/>
        <v>-a little ablaze.[jj*] PUNC</v>
      </c>
      <c r="AF43" s="2">
        <v>0</v>
      </c>
      <c r="AG43" s="1">
        <f t="shared" si="17"/>
        <v>-1.6312871429486822</v>
      </c>
      <c r="AH43" s="1">
        <f t="shared" si="18"/>
        <v>-3.5000000000000004</v>
      </c>
      <c r="AI43" s="1"/>
      <c r="AJ43" s="3" t="str">
        <f t="shared" si="19"/>
        <v>no ablaze.[jj*] PUNC</v>
      </c>
      <c r="AK43" s="2">
        <v>0</v>
      </c>
      <c r="AL43" s="1">
        <f t="shared" si="20"/>
        <v>-2.6134560752922145</v>
      </c>
      <c r="AM43" s="1">
        <f t="shared" si="21"/>
        <v>-3.5</v>
      </c>
      <c r="AN43" s="1"/>
      <c r="AO43" s="3" t="str">
        <f t="shared" si="22"/>
        <v>any ablaze.[jj*] PUNC</v>
      </c>
      <c r="AP43" s="2">
        <v>0</v>
      </c>
      <c r="AQ43" s="1">
        <f t="shared" si="2"/>
        <v>-3.4473347941074066</v>
      </c>
      <c r="AR43" s="1">
        <f t="shared" si="23"/>
        <v>-3.5</v>
      </c>
      <c r="AS43" s="1"/>
    </row>
    <row r="44" spans="1:45" x14ac:dyDescent="0.2">
      <c r="A44" s="41"/>
      <c r="B44" t="s">
        <v>56</v>
      </c>
      <c r="C44" s="2">
        <v>3344</v>
      </c>
      <c r="D44" s="2">
        <v>1544</v>
      </c>
      <c r="E44" s="3" t="str">
        <f t="shared" si="24"/>
        <v>-very much amused.[jj*] PUNC</v>
      </c>
      <c r="F44" s="2">
        <v>3</v>
      </c>
      <c r="G44" s="1">
        <f t="shared" si="3"/>
        <v>0.3395829101239034</v>
      </c>
      <c r="H44" s="1">
        <f t="shared" si="4"/>
        <v>3.4204095151343761E-2</v>
      </c>
      <c r="I44" s="1">
        <f>AVERAGE(H44:H50)</f>
        <v>-1.6542074527841166</v>
      </c>
      <c r="J44" s="1"/>
      <c r="K44" s="3" t="str">
        <f t="shared" si="25"/>
        <v>more amused.[jj*] PUNC</v>
      </c>
      <c r="L44" s="2">
        <v>6</v>
      </c>
      <c r="M44" s="1">
        <f t="shared" si="5"/>
        <v>0.23141636103562568</v>
      </c>
      <c r="N44" s="1">
        <f t="shared" si="6"/>
        <v>-7.1547667197701476E-2</v>
      </c>
      <c r="O44" s="1">
        <f>AVERAGE(N44:N50)</f>
        <v>0.75806183185261877</v>
      </c>
      <c r="P44" s="3" t="str">
        <f t="shared" si="7"/>
        <v>less amused.[jj*] PUNC</v>
      </c>
      <c r="Q44" s="2">
        <v>13</v>
      </c>
      <c r="R44" s="1">
        <f t="shared" si="8"/>
        <v>1.3959129153579344</v>
      </c>
      <c r="S44" s="1">
        <f t="shared" si="9"/>
        <v>0.76669868392833718</v>
      </c>
      <c r="T44" s="1">
        <f>AVERAGE(S44:S50)</f>
        <v>-0.70282742285800259</v>
      </c>
      <c r="U44" s="3" t="str">
        <f t="shared" si="10"/>
        <v>amused.[jj*] enough</v>
      </c>
      <c r="V44" s="2">
        <v>0</v>
      </c>
      <c r="W44" s="1">
        <f t="shared" si="11"/>
        <v>-2.6675386949288646</v>
      </c>
      <c r="X44" s="1">
        <f t="shared" si="12"/>
        <v>-3.5</v>
      </c>
      <c r="Y44" s="1">
        <f>AVERAGE(X44:X50)</f>
        <v>-1.9464286774264468</v>
      </c>
      <c r="Z44" s="3" t="str">
        <f t="shared" si="13"/>
        <v>that.[r*] amused.[jj*] PUNC</v>
      </c>
      <c r="AA44" s="2">
        <v>2</v>
      </c>
      <c r="AB44" s="1">
        <f t="shared" si="14"/>
        <v>1.0608765628285823</v>
      </c>
      <c r="AC44" s="1">
        <f t="shared" si="15"/>
        <v>-0.39046203559758907</v>
      </c>
      <c r="AD44" s="1">
        <f>AVERAGE(AC44:AC50)</f>
        <v>-1.0469603004584862</v>
      </c>
      <c r="AE44" s="3" t="str">
        <f t="shared" si="16"/>
        <v>-a little amused.[jj*] PUNC</v>
      </c>
      <c r="AF44" s="2">
        <v>0</v>
      </c>
      <c r="AG44" s="1">
        <f t="shared" si="17"/>
        <v>-1.6312871429486822</v>
      </c>
      <c r="AH44" s="1">
        <f t="shared" si="18"/>
        <v>-3.5000000000000004</v>
      </c>
      <c r="AI44" s="1">
        <f>AVERAGE(AH44:AH50)</f>
        <v>-3.0940225883512364</v>
      </c>
      <c r="AJ44" s="3" t="str">
        <f t="shared" si="19"/>
        <v>no amused.[jj*] PUNC</v>
      </c>
      <c r="AK44" s="2">
        <v>0</v>
      </c>
      <c r="AL44" s="1">
        <f t="shared" si="20"/>
        <v>-2.6134560752922145</v>
      </c>
      <c r="AM44" s="1">
        <f t="shared" si="21"/>
        <v>-3.5</v>
      </c>
      <c r="AN44" s="1">
        <f>AVERAGE(AM44:AM50)</f>
        <v>-3.5</v>
      </c>
      <c r="AO44" s="3" t="str">
        <f t="shared" si="22"/>
        <v>any amused.[jj*] PUNC</v>
      </c>
      <c r="AP44" s="2">
        <v>0</v>
      </c>
      <c r="AQ44" s="1">
        <f t="shared" si="2"/>
        <v>-3.4473347941074066</v>
      </c>
      <c r="AR44" s="1">
        <f t="shared" si="23"/>
        <v>-3.5</v>
      </c>
      <c r="AS44" s="1">
        <f>AVERAGE(AR44:AR50)</f>
        <v>-2.9878098179656525</v>
      </c>
    </row>
    <row r="45" spans="1:45" x14ac:dyDescent="0.2">
      <c r="A45" s="41">
        <v>7</v>
      </c>
      <c r="B45" t="s">
        <v>57</v>
      </c>
      <c r="C45" s="2">
        <v>10720</v>
      </c>
      <c r="D45" s="2">
        <v>4985</v>
      </c>
      <c r="E45" s="3" t="str">
        <f t="shared" si="24"/>
        <v>-very much confused.[jj*] PUNC</v>
      </c>
      <c r="F45" s="2">
        <v>1</v>
      </c>
      <c r="G45" s="1">
        <f t="shared" si="3"/>
        <v>-0.64655621124371443</v>
      </c>
      <c r="H45" s="1">
        <f t="shared" si="4"/>
        <v>-0.82280940365233579</v>
      </c>
      <c r="I45" s="1"/>
      <c r="J45" s="1"/>
      <c r="K45" s="3" t="str">
        <f t="shared" si="25"/>
        <v>more confused.[jj*] PUNC</v>
      </c>
      <c r="L45" s="2">
        <v>90</v>
      </c>
      <c r="M45" s="1">
        <f t="shared" si="5"/>
        <v>0.8984897534433518</v>
      </c>
      <c r="N45" s="1">
        <f t="shared" si="6"/>
        <v>0.63067426014008843</v>
      </c>
      <c r="O45" s="1"/>
      <c r="P45" s="3" t="str">
        <f t="shared" si="7"/>
        <v>less confused.[jj*] PUNC</v>
      </c>
      <c r="Q45" s="2">
        <v>13</v>
      </c>
      <c r="R45" s="1">
        <f t="shared" si="8"/>
        <v>0.88689504870997737</v>
      </c>
      <c r="S45" s="1">
        <f t="shared" si="9"/>
        <v>0.22501098524369445</v>
      </c>
      <c r="T45" s="1"/>
      <c r="U45" s="3" t="str">
        <f t="shared" si="10"/>
        <v>confused.[jj*] enough</v>
      </c>
      <c r="V45" s="2">
        <v>1</v>
      </c>
      <c r="W45" s="1">
        <f t="shared" si="11"/>
        <v>-0.62710591241531688</v>
      </c>
      <c r="X45" s="1">
        <f t="shared" si="12"/>
        <v>-1.0671973810386943</v>
      </c>
      <c r="Y45" s="1"/>
      <c r="Z45" s="3" t="str">
        <f t="shared" si="13"/>
        <v>that.[r*] confused.[jj*] PUNC</v>
      </c>
      <c r="AA45" s="2">
        <v>6</v>
      </c>
      <c r="AB45" s="1">
        <f t="shared" si="14"/>
        <v>1.0289799509002862</v>
      </c>
      <c r="AC45" s="1">
        <f t="shared" si="15"/>
        <v>-0.45050117371491227</v>
      </c>
      <c r="AD45" s="1"/>
      <c r="AE45" s="3" t="str">
        <f t="shared" si="16"/>
        <v>-a little confused.[jj*] PUNC</v>
      </c>
      <c r="AF45" s="2">
        <v>0</v>
      </c>
      <c r="AG45" s="1">
        <f t="shared" si="17"/>
        <v>-1.6312871429486822</v>
      </c>
      <c r="AH45" s="1">
        <f t="shared" si="18"/>
        <v>-3.5000000000000004</v>
      </c>
      <c r="AI45" s="1"/>
      <c r="AJ45" s="3" t="str">
        <f t="shared" si="19"/>
        <v>no confused.[jj*] PUNC</v>
      </c>
      <c r="AK45" s="2">
        <v>0</v>
      </c>
      <c r="AL45" s="1">
        <f t="shared" si="20"/>
        <v>-2.6134560752922145</v>
      </c>
      <c r="AM45" s="1">
        <f t="shared" si="21"/>
        <v>-3.5</v>
      </c>
      <c r="AN45" s="1"/>
      <c r="AO45" s="3" t="str">
        <f t="shared" si="22"/>
        <v>any confused.[jj*] PUNC</v>
      </c>
      <c r="AP45" s="2">
        <v>0</v>
      </c>
      <c r="AQ45" s="1">
        <f t="shared" si="2"/>
        <v>-3.4473347941074066</v>
      </c>
      <c r="AR45" s="1">
        <f t="shared" si="23"/>
        <v>-3.5</v>
      </c>
      <c r="AS45" s="1"/>
    </row>
    <row r="46" spans="1:45" x14ac:dyDescent="0.2">
      <c r="A46" s="41"/>
      <c r="B46" t="s">
        <v>58</v>
      </c>
      <c r="C46" s="2">
        <v>3887</v>
      </c>
      <c r="D46" s="2">
        <v>627</v>
      </c>
      <c r="E46" s="3" t="str">
        <f t="shared" si="24"/>
        <v>-very much driven.[jj*] PUNC</v>
      </c>
      <c r="F46" s="2">
        <v>0</v>
      </c>
      <c r="G46" s="1">
        <f t="shared" si="3"/>
        <v>-3.7271172363632399</v>
      </c>
      <c r="H46" s="1">
        <f t="shared" si="4"/>
        <v>-3.5000000000000004</v>
      </c>
      <c r="I46" s="1"/>
      <c r="J46" s="1"/>
      <c r="K46" s="3" t="str">
        <f t="shared" si="25"/>
        <v>more driven.[jj*] PUNC</v>
      </c>
      <c r="L46" s="2">
        <v>993</v>
      </c>
      <c r="M46" s="1">
        <f t="shared" si="5"/>
        <v>2.8415941143163654</v>
      </c>
      <c r="N46" s="1">
        <f t="shared" si="6"/>
        <v>2.6761620652910891</v>
      </c>
      <c r="O46" s="1"/>
      <c r="P46" s="3" t="str">
        <f t="shared" si="7"/>
        <v>less driven.[jj*] PUNC</v>
      </c>
      <c r="Q46" s="2">
        <v>7</v>
      </c>
      <c r="R46" s="1">
        <f t="shared" si="8"/>
        <v>1.5184473582343561</v>
      </c>
      <c r="S46" s="1">
        <f t="shared" si="9"/>
        <v>0.89709764380854062</v>
      </c>
      <c r="T46" s="1"/>
      <c r="U46" s="3" t="str">
        <f t="shared" si="10"/>
        <v>driven.[jj*] enough</v>
      </c>
      <c r="V46" s="2">
        <v>1</v>
      </c>
      <c r="W46" s="1">
        <f t="shared" si="11"/>
        <v>-0.18652566768983192</v>
      </c>
      <c r="X46" s="1">
        <f t="shared" si="12"/>
        <v>-0.54189471857588101</v>
      </c>
      <c r="Y46" s="1"/>
      <c r="Z46" s="3" t="str">
        <f t="shared" si="13"/>
        <v>that.[r*] driven.[jj*] PUNC</v>
      </c>
      <c r="AA46" s="2">
        <v>2</v>
      </c>
      <c r="AB46" s="1">
        <f t="shared" si="14"/>
        <v>1.4522563179975831</v>
      </c>
      <c r="AC46" s="1">
        <f t="shared" si="15"/>
        <v>0.34623386269216305</v>
      </c>
      <c r="AD46" s="1"/>
      <c r="AE46" s="3" t="str">
        <f t="shared" si="16"/>
        <v>-a little driven.[jj*] PUNC</v>
      </c>
      <c r="AF46" s="2">
        <v>0</v>
      </c>
      <c r="AG46" s="1">
        <f t="shared" si="17"/>
        <v>-1.6312871429486822</v>
      </c>
      <c r="AH46" s="1">
        <f t="shared" si="18"/>
        <v>-3.5000000000000004</v>
      </c>
      <c r="AI46" s="1"/>
      <c r="AJ46" s="3" t="str">
        <f t="shared" si="19"/>
        <v>no driven.[jj*] PUNC</v>
      </c>
      <c r="AK46" s="2">
        <v>0</v>
      </c>
      <c r="AL46" s="1">
        <f t="shared" si="20"/>
        <v>-2.6134560752922145</v>
      </c>
      <c r="AM46" s="1">
        <f t="shared" si="21"/>
        <v>-3.5</v>
      </c>
      <c r="AN46" s="1"/>
      <c r="AO46" s="3" t="str">
        <f t="shared" si="22"/>
        <v>any driven.[jj*] PUNC</v>
      </c>
      <c r="AP46" s="2">
        <v>1</v>
      </c>
      <c r="AQ46" s="1">
        <f t="shared" si="2"/>
        <v>0.20505098058446602</v>
      </c>
      <c r="AR46" s="1">
        <f t="shared" si="23"/>
        <v>8.5331274240430452E-2</v>
      </c>
      <c r="AS46" s="1"/>
    </row>
    <row r="47" spans="1:45" x14ac:dyDescent="0.2">
      <c r="A47" s="41"/>
      <c r="B47" t="s">
        <v>59</v>
      </c>
      <c r="C47" s="2">
        <v>29480</v>
      </c>
      <c r="D47" s="2">
        <v>9733</v>
      </c>
      <c r="E47" s="3" t="str">
        <f t="shared" si="24"/>
        <v>-very much excited.[jj*] PUNC</v>
      </c>
      <c r="F47" s="2">
        <v>3</v>
      </c>
      <c r="G47" s="1">
        <f t="shared" si="3"/>
        <v>-0.46001651725175741</v>
      </c>
      <c r="H47" s="1">
        <f t="shared" si="4"/>
        <v>-0.66069532425945587</v>
      </c>
      <c r="I47" s="1"/>
      <c r="J47" s="1"/>
      <c r="K47" s="3" t="str">
        <f t="shared" si="25"/>
        <v>more excited.[jj*] PUNC</v>
      </c>
      <c r="L47" s="2">
        <v>168</v>
      </c>
      <c r="M47" s="1">
        <f t="shared" si="5"/>
        <v>0.87897496500218608</v>
      </c>
      <c r="N47" s="1">
        <f t="shared" si="6"/>
        <v>0.61013122468594949</v>
      </c>
      <c r="O47" s="1"/>
      <c r="P47" s="3" t="str">
        <f t="shared" si="7"/>
        <v>less excited.[jj*] PUNC</v>
      </c>
      <c r="Q47" s="2">
        <v>16</v>
      </c>
      <c r="R47" s="1">
        <f t="shared" si="8"/>
        <v>0.68649011833136164</v>
      </c>
      <c r="S47" s="1">
        <f t="shared" si="9"/>
        <v>1.1743646993409271E-2</v>
      </c>
      <c r="T47" s="1"/>
      <c r="U47" s="3" t="str">
        <f t="shared" si="10"/>
        <v>excited.[jj*] enough</v>
      </c>
      <c r="V47" s="2">
        <v>12</v>
      </c>
      <c r="W47" s="1">
        <f t="shared" si="11"/>
        <v>1.2742639802043598E-2</v>
      </c>
      <c r="X47" s="1">
        <f t="shared" si="12"/>
        <v>-0.3043076417082789</v>
      </c>
      <c r="Y47" s="1"/>
      <c r="Z47" s="3" t="str">
        <f t="shared" si="13"/>
        <v>that.[r*] excited.[jj*] PUNC</v>
      </c>
      <c r="AA47" s="2">
        <v>22</v>
      </c>
      <c r="AB47" s="1">
        <f t="shared" si="14"/>
        <v>1.3026698206111456</v>
      </c>
      <c r="AC47" s="1">
        <f t="shared" si="15"/>
        <v>6.466651637775242E-2</v>
      </c>
      <c r="AD47" s="1"/>
      <c r="AE47" s="3" t="str">
        <f t="shared" si="16"/>
        <v>-a little excited.[jj*] PUNC</v>
      </c>
      <c r="AF47" s="2">
        <v>1</v>
      </c>
      <c r="AG47" s="1">
        <f t="shared" si="17"/>
        <v>-0.57148871381935251</v>
      </c>
      <c r="AH47" s="1">
        <f t="shared" si="18"/>
        <v>-0.65815811845865213</v>
      </c>
      <c r="AI47" s="1"/>
      <c r="AJ47" s="3" t="str">
        <f t="shared" si="19"/>
        <v>no excited.[jj*] PUNC</v>
      </c>
      <c r="AK47" s="2">
        <v>0</v>
      </c>
      <c r="AL47" s="1">
        <f t="shared" si="20"/>
        <v>-2.6134560752922145</v>
      </c>
      <c r="AM47" s="1">
        <f t="shared" si="21"/>
        <v>-3.5</v>
      </c>
      <c r="AN47" s="1"/>
      <c r="AO47" s="3" t="str">
        <f t="shared" si="22"/>
        <v>any excited.[jj*] PUNC</v>
      </c>
      <c r="AP47" s="2">
        <v>0</v>
      </c>
      <c r="AQ47" s="1">
        <f t="shared" si="2"/>
        <v>-3.4473347941074066</v>
      </c>
      <c r="AR47" s="1">
        <f t="shared" si="23"/>
        <v>-3.5</v>
      </c>
      <c r="AS47" s="1"/>
    </row>
    <row r="48" spans="1:45" x14ac:dyDescent="0.2">
      <c r="A48" s="41"/>
      <c r="B48" t="s">
        <v>60</v>
      </c>
      <c r="C48" s="2">
        <v>14168</v>
      </c>
      <c r="D48" s="2">
        <v>423</v>
      </c>
      <c r="E48" s="3" t="str">
        <f t="shared" si="24"/>
        <v>-very much improved.[jj*] PUNC</v>
      </c>
      <c r="F48" s="2">
        <v>2</v>
      </c>
      <c r="G48" s="1">
        <f t="shared" si="3"/>
        <v>0.72579857969289918</v>
      </c>
      <c r="H48" s="1">
        <f t="shared" si="4"/>
        <v>0.36984846327163257</v>
      </c>
      <c r="I48" s="1"/>
      <c r="J48" s="1"/>
      <c r="K48" s="3" t="str">
        <f t="shared" si="25"/>
        <v>more improved.[jj*] PUNC</v>
      </c>
      <c r="L48" s="2">
        <v>8</v>
      </c>
      <c r="M48" s="1">
        <f t="shared" si="5"/>
        <v>0.91866202626860094</v>
      </c>
      <c r="N48" s="1">
        <f t="shared" si="6"/>
        <v>0.65190942326209766</v>
      </c>
      <c r="O48" s="1"/>
      <c r="P48" s="3" t="str">
        <f t="shared" si="7"/>
        <v>less improved.[jj*] PUNC</v>
      </c>
      <c r="Q48" s="2">
        <v>1</v>
      </c>
      <c r="R48" s="1">
        <f t="shared" si="8"/>
        <v>0.84427649167577368</v>
      </c>
      <c r="S48" s="1">
        <f t="shared" si="9"/>
        <v>0.17965708002000116</v>
      </c>
      <c r="T48" s="1"/>
      <c r="U48" s="3" t="str">
        <f t="shared" si="10"/>
        <v>improved.[jj*] enough</v>
      </c>
      <c r="V48" s="2">
        <v>1</v>
      </c>
      <c r="W48" s="1">
        <f t="shared" si="11"/>
        <v>-0.74821967524058408</v>
      </c>
      <c r="X48" s="1">
        <f t="shared" si="12"/>
        <v>-1.2116010006622737</v>
      </c>
      <c r="Y48" s="1"/>
      <c r="Z48" s="3" t="str">
        <f t="shared" si="13"/>
        <v>that.[r*] improved.[jj*] PUNC</v>
      </c>
      <c r="AA48" s="12">
        <v>1</v>
      </c>
      <c r="AB48" s="1">
        <f t="shared" si="14"/>
        <v>1.3221534957892764</v>
      </c>
      <c r="AC48" s="1">
        <f t="shared" si="15"/>
        <v>0.10134072703318324</v>
      </c>
      <c r="AD48" s="1"/>
      <c r="AE48" s="3" t="str">
        <f t="shared" si="16"/>
        <v>-a little improved.[jj*] PUNC</v>
      </c>
      <c r="AF48" s="2">
        <v>0</v>
      </c>
      <c r="AG48" s="1">
        <f t="shared" si="17"/>
        <v>-1.6312871429486822</v>
      </c>
      <c r="AH48" s="1">
        <f t="shared" si="18"/>
        <v>-3.5000000000000004</v>
      </c>
      <c r="AI48" s="1"/>
      <c r="AJ48" s="3" t="str">
        <f t="shared" si="19"/>
        <v>no improved.[jj*] PUNC</v>
      </c>
      <c r="AK48" s="2">
        <v>0</v>
      </c>
      <c r="AL48" s="1">
        <f t="shared" si="20"/>
        <v>-2.6134560752922145</v>
      </c>
      <c r="AM48" s="1">
        <f t="shared" si="21"/>
        <v>-3.5</v>
      </c>
      <c r="AN48" s="1"/>
      <c r="AO48" s="3" t="str">
        <f t="shared" si="22"/>
        <v>any improved.[jj*] PUNC</v>
      </c>
      <c r="AP48" s="2">
        <v>0</v>
      </c>
      <c r="AQ48" s="1">
        <f t="shared" si="2"/>
        <v>-3.4473347941074066</v>
      </c>
      <c r="AR48" s="1">
        <f t="shared" si="23"/>
        <v>-3.5</v>
      </c>
      <c r="AS48" s="1"/>
    </row>
    <row r="49" spans="1:45" x14ac:dyDescent="0.2">
      <c r="A49" s="41"/>
      <c r="B49" t="s">
        <v>61</v>
      </c>
      <c r="C49" s="2">
        <v>41358</v>
      </c>
      <c r="D49" s="2">
        <v>275</v>
      </c>
      <c r="E49" s="3" t="str">
        <f t="shared" si="24"/>
        <v>-very much increased.[jj*] PUNC</v>
      </c>
      <c r="F49" s="2">
        <v>0</v>
      </c>
      <c r="G49" s="1">
        <f t="shared" si="3"/>
        <v>-3.7271172363632399</v>
      </c>
      <c r="H49" s="1">
        <f t="shared" si="4"/>
        <v>-3.5000000000000004</v>
      </c>
      <c r="I49" s="1"/>
      <c r="J49" s="1"/>
      <c r="K49" s="3" t="str">
        <f t="shared" si="25"/>
        <v>more increased.[jj*] PUNC</v>
      </c>
      <c r="L49" s="2">
        <v>1</v>
      </c>
      <c r="M49" s="1">
        <f t="shared" si="5"/>
        <v>0.20257971282143838</v>
      </c>
      <c r="N49" s="1">
        <f t="shared" si="6"/>
        <v>-0.10190373733541051</v>
      </c>
      <c r="O49" s="1"/>
      <c r="P49" s="3" t="str">
        <f t="shared" si="7"/>
        <v>less increased.[jj*] PUNC</v>
      </c>
      <c r="Q49" s="2">
        <v>0</v>
      </c>
      <c r="R49" s="1">
        <f t="shared" si="8"/>
        <v>-2.6134560752922145</v>
      </c>
      <c r="S49" s="1">
        <f t="shared" si="9"/>
        <v>-3.5</v>
      </c>
      <c r="T49" s="1"/>
      <c r="U49" s="3" t="str">
        <f t="shared" si="10"/>
        <v>increased.[jj*] enough</v>
      </c>
      <c r="V49" s="2">
        <v>0</v>
      </c>
      <c r="W49" s="1">
        <f t="shared" si="11"/>
        <v>-2.6675386949288646</v>
      </c>
      <c r="X49" s="1">
        <f t="shared" si="12"/>
        <v>-3.5</v>
      </c>
      <c r="Y49" s="1"/>
      <c r="Z49" s="3" t="str">
        <f t="shared" si="13"/>
        <v>that.[r*] increased.[jj*] PUNC</v>
      </c>
      <c r="AA49" s="2">
        <v>0</v>
      </c>
      <c r="AB49" s="1">
        <f t="shared" si="14"/>
        <v>-0.59110793989748367</v>
      </c>
      <c r="AC49" s="1">
        <f t="shared" si="15"/>
        <v>-3.5</v>
      </c>
      <c r="AD49" s="1"/>
      <c r="AE49" s="3" t="str">
        <f t="shared" si="16"/>
        <v>-a little increased.[jj*] PUNC</v>
      </c>
      <c r="AF49" s="2">
        <v>0</v>
      </c>
      <c r="AG49" s="1">
        <f t="shared" si="17"/>
        <v>-1.6312871429486822</v>
      </c>
      <c r="AH49" s="1">
        <f t="shared" si="18"/>
        <v>-3.5000000000000004</v>
      </c>
      <c r="AI49" s="1"/>
      <c r="AJ49" s="3" t="str">
        <f t="shared" si="19"/>
        <v>no increased.[jj*] PUNC</v>
      </c>
      <c r="AK49" s="2">
        <v>0</v>
      </c>
      <c r="AL49" s="1">
        <f t="shared" si="20"/>
        <v>-2.6134560752922145</v>
      </c>
      <c r="AM49" s="1">
        <f t="shared" si="21"/>
        <v>-3.5</v>
      </c>
      <c r="AN49" s="1"/>
      <c r="AO49" s="3" t="str">
        <f t="shared" si="22"/>
        <v>any increased.[jj*] PUNC</v>
      </c>
      <c r="AP49" s="2">
        <v>0</v>
      </c>
      <c r="AQ49" s="1">
        <f t="shared" si="2"/>
        <v>-3.4473347941074066</v>
      </c>
      <c r="AR49" s="1">
        <f t="shared" si="23"/>
        <v>-3.5</v>
      </c>
      <c r="AS49" s="1"/>
    </row>
    <row r="50" spans="1:45" x14ac:dyDescent="0.2">
      <c r="A50" s="41"/>
      <c r="B50" t="s">
        <v>62</v>
      </c>
      <c r="C50" s="2">
        <v>8801</v>
      </c>
      <c r="D50" s="2">
        <v>60</v>
      </c>
      <c r="E50" s="3" t="str">
        <f t="shared" si="24"/>
        <v>-very much reduced.[jj*] PUNC</v>
      </c>
      <c r="F50" s="2">
        <v>0</v>
      </c>
      <c r="G50" s="1">
        <f t="shared" si="3"/>
        <v>-3.7271172363632399</v>
      </c>
      <c r="H50" s="1">
        <f t="shared" si="4"/>
        <v>-3.5000000000000004</v>
      </c>
      <c r="I50" s="1"/>
      <c r="J50" s="1"/>
      <c r="K50" s="3" t="str">
        <f t="shared" si="25"/>
        <v>more reduced.[jj*] PUNC</v>
      </c>
      <c r="L50" s="2">
        <v>2</v>
      </c>
      <c r="M50" s="1">
        <f t="shared" si="5"/>
        <v>1.1647911519320386</v>
      </c>
      <c r="N50" s="1">
        <f t="shared" si="6"/>
        <v>0.91100725412221883</v>
      </c>
      <c r="O50" s="1"/>
      <c r="P50" s="3" t="str">
        <f t="shared" si="7"/>
        <v>less reduced.[jj*] PUNC</v>
      </c>
      <c r="Q50" s="2">
        <v>0</v>
      </c>
      <c r="R50" s="1">
        <f t="shared" si="8"/>
        <v>-2.6134560752922145</v>
      </c>
      <c r="S50" s="1">
        <f t="shared" si="9"/>
        <v>-3.5</v>
      </c>
      <c r="T50" s="1"/>
      <c r="U50" s="3" t="str">
        <f t="shared" si="10"/>
        <v>reduced.[jj*] enough</v>
      </c>
      <c r="V50" s="2">
        <v>0</v>
      </c>
      <c r="W50" s="1">
        <f t="shared" si="11"/>
        <v>-2.6675386949288646</v>
      </c>
      <c r="X50" s="1">
        <f t="shared" si="12"/>
        <v>-3.5</v>
      </c>
      <c r="Y50" s="1"/>
      <c r="Z50" s="3" t="str">
        <f t="shared" si="13"/>
        <v>that.[r*] reduced.[jj*] PUNC</v>
      </c>
      <c r="AA50" s="2">
        <v>0</v>
      </c>
      <c r="AB50" s="1">
        <f t="shared" si="14"/>
        <v>-0.59110793989748367</v>
      </c>
      <c r="AC50" s="1">
        <f t="shared" si="15"/>
        <v>-3.5</v>
      </c>
      <c r="AD50" s="1"/>
      <c r="AE50" s="3" t="str">
        <f t="shared" si="16"/>
        <v>-a little reduced.[jj*] PUNC</v>
      </c>
      <c r="AF50" s="2">
        <v>0</v>
      </c>
      <c r="AG50" s="1">
        <f t="shared" si="17"/>
        <v>-1.6312871429486822</v>
      </c>
      <c r="AH50" s="1">
        <f t="shared" si="18"/>
        <v>-3.5000000000000004</v>
      </c>
      <c r="AI50" s="1"/>
      <c r="AJ50" s="3" t="str">
        <f t="shared" si="19"/>
        <v>no reduced.[jj*] PUNC</v>
      </c>
      <c r="AK50" s="2">
        <v>0</v>
      </c>
      <c r="AL50" s="1">
        <f t="shared" si="20"/>
        <v>-2.6134560752922145</v>
      </c>
      <c r="AM50" s="1">
        <f t="shared" si="21"/>
        <v>-3.5</v>
      </c>
      <c r="AN50" s="1"/>
      <c r="AO50" s="3" t="str">
        <f t="shared" si="22"/>
        <v>any reduced.[jj*] PUNC</v>
      </c>
      <c r="AP50" s="2">
        <v>0</v>
      </c>
      <c r="AQ50" s="1">
        <f t="shared" si="2"/>
        <v>-3.4473347941074066</v>
      </c>
      <c r="AR50" s="1">
        <f t="shared" si="23"/>
        <v>-3.5</v>
      </c>
      <c r="AS50" s="1"/>
    </row>
    <row r="51" spans="1:45" x14ac:dyDescent="0.2">
      <c r="B51" t="s">
        <v>67</v>
      </c>
      <c r="C51" s="2">
        <v>966493</v>
      </c>
      <c r="D51" s="2"/>
      <c r="E51" s="3" t="s">
        <v>74</v>
      </c>
      <c r="F51" s="2">
        <v>891547</v>
      </c>
      <c r="H51" s="1"/>
      <c r="I51" s="1"/>
      <c r="J51" s="1"/>
      <c r="K51" s="3" t="s">
        <v>83</v>
      </c>
      <c r="L51" s="2">
        <v>2287393</v>
      </c>
      <c r="N51" s="1"/>
      <c r="O51" s="1"/>
      <c r="P51" s="3" t="s">
        <v>82</v>
      </c>
      <c r="Q51" s="2">
        <v>339341</v>
      </c>
      <c r="S51" s="1"/>
      <c r="T51" s="1"/>
      <c r="U51" t="s">
        <v>87</v>
      </c>
      <c r="V51" s="2">
        <v>396428</v>
      </c>
      <c r="X51" s="1"/>
      <c r="Y51" s="1"/>
      <c r="Z51" s="3" t="str">
        <f t="shared" si="13"/>
        <v>that.[r*] much.[jj*] PUNC</v>
      </c>
      <c r="AA51" s="12">
        <v>112917</v>
      </c>
      <c r="AC51" s="1"/>
      <c r="AD51" s="1"/>
      <c r="AE51" s="3" t="s">
        <v>89</v>
      </c>
      <c r="AF51">
        <v>384145</v>
      </c>
      <c r="AH51" s="1"/>
      <c r="AI51" s="1"/>
      <c r="AJ51" s="3" t="s">
        <v>97</v>
      </c>
      <c r="AK51" s="2">
        <f>no!D110</f>
        <v>1541105</v>
      </c>
      <c r="AM51" s="1"/>
      <c r="AN51" s="1"/>
      <c r="AO51" s="3" t="s">
        <v>98</v>
      </c>
      <c r="AP51" s="2">
        <v>997550</v>
      </c>
      <c r="AR51" s="1"/>
      <c r="AS51" s="1"/>
    </row>
    <row r="52" spans="1:45" x14ac:dyDescent="0.2">
      <c r="B52" s="3" t="s">
        <v>74</v>
      </c>
      <c r="C52" s="2">
        <v>891547</v>
      </c>
      <c r="D52" s="2"/>
      <c r="G52" s="8">
        <f>-3.5*G57+G56</f>
        <v>-3.7271172363632399</v>
      </c>
      <c r="H52" s="1"/>
      <c r="I52" s="1"/>
      <c r="J52" s="1"/>
      <c r="L52" s="2"/>
      <c r="M52" s="8">
        <f>-3.5*M57+M56</f>
        <v>-3.025430569137892</v>
      </c>
      <c r="N52" s="1"/>
      <c r="O52" s="1"/>
      <c r="P52" s="3"/>
      <c r="R52" s="8">
        <f>-3.5*R57+R56</f>
        <v>-2.6134560752922145</v>
      </c>
      <c r="S52" s="1"/>
      <c r="T52" s="1"/>
      <c r="W52" s="8">
        <f>-3.5*W57+W56</f>
        <v>-2.6675386949288646</v>
      </c>
      <c r="X52" s="1"/>
      <c r="Y52" s="1"/>
      <c r="AB52" s="8">
        <f>-3.5*AB57+AB56</f>
        <v>-0.59110793989748367</v>
      </c>
      <c r="AC52" s="1"/>
      <c r="AD52" s="1"/>
      <c r="AG52" s="8">
        <f>-3.5*AG57+AG56</f>
        <v>-1.6312871429486822</v>
      </c>
      <c r="AH52" s="1"/>
      <c r="AI52" s="1"/>
      <c r="AL52" s="8">
        <f>-3.5*AL57+AL56</f>
        <v>-2.6134560752922145</v>
      </c>
      <c r="AM52" s="1"/>
      <c r="AN52" s="1"/>
      <c r="AQ52" s="8">
        <f>-3.5*AQ57+AQ56</f>
        <v>-3.4473347941074066</v>
      </c>
      <c r="AR52" s="1"/>
      <c r="AS52" s="1"/>
    </row>
    <row r="54" spans="1:45" x14ac:dyDescent="0.2">
      <c r="F54" t="s">
        <v>78</v>
      </c>
      <c r="G54" s="1">
        <f>AVERAGE(G3:G50)</f>
        <v>-1.3778340855112232</v>
      </c>
      <c r="H54" s="1"/>
      <c r="I54" s="1"/>
      <c r="J54" s="1"/>
      <c r="K54" s="1"/>
      <c r="L54" s="1"/>
      <c r="M54" s="1">
        <f>AVERAGE(M2:M50)</f>
        <v>-3.9883843066946388E-2</v>
      </c>
      <c r="N54" s="1"/>
      <c r="O54" s="1"/>
      <c r="P54" s="1"/>
      <c r="Q54" s="1"/>
      <c r="R54" s="1">
        <f>AVERAGE(R2:R50)</f>
        <v>-0.39847531896191879</v>
      </c>
      <c r="S54" s="1"/>
      <c r="V54" s="1"/>
      <c r="W54" s="1">
        <f>AVERAGE(W2:W50)</f>
        <v>-0.69056303677398856</v>
      </c>
      <c r="X54" s="1"/>
      <c r="AA54" s="1"/>
      <c r="AB54" s="1">
        <f>AVERAGE(AB2:AB50)</f>
        <v>0.73705119631324201</v>
      </c>
      <c r="AC54" s="1"/>
      <c r="AF54" s="1"/>
      <c r="AG54" s="1">
        <f>AVERAGE(AG2:AG50)</f>
        <v>-1.2317229292252863</v>
      </c>
      <c r="AH54" s="1"/>
      <c r="AK54" s="1"/>
      <c r="AL54" s="1">
        <f>AVERAGE(AL2:AL50)</f>
        <v>-1.4496577117713947</v>
      </c>
      <c r="AM54" s="1"/>
      <c r="AP54" s="1"/>
      <c r="AQ54" s="1">
        <f>AVERAGE(AQ2:AQ50)</f>
        <v>-1.6282232655113054</v>
      </c>
      <c r="AR54" s="1"/>
    </row>
    <row r="55" spans="1:45" ht="17" x14ac:dyDescent="0.25">
      <c r="F55" t="s">
        <v>80</v>
      </c>
      <c r="G55" s="1">
        <f>_xlfn.STDEV.S(G3:G50)</f>
        <v>2.1878602933227107</v>
      </c>
      <c r="H55" s="1"/>
      <c r="I55" s="1"/>
      <c r="J55" s="1"/>
      <c r="K55" s="1"/>
      <c r="L55" s="1"/>
      <c r="M55" s="9">
        <f>_xlfn.STDEV.S(M2:M50)</f>
        <v>1.3573493864523609</v>
      </c>
      <c r="N55" s="1"/>
      <c r="O55" s="1"/>
      <c r="P55" s="1"/>
      <c r="Q55" s="1"/>
      <c r="R55" s="9">
        <f>_xlfn.STDEV.S(R2:R50)</f>
        <v>1.7369421674093781</v>
      </c>
      <c r="S55" s="1"/>
      <c r="V55" s="1"/>
      <c r="W55" s="9">
        <f>_xlfn.STDEV.S(W2:W50)</f>
        <v>1.5503034844782433</v>
      </c>
      <c r="X55" s="1"/>
      <c r="AA55" s="1"/>
      <c r="AB55" s="9">
        <f>_xlfn.STDEV.S(AB2:AB50)</f>
        <v>0.95928280007714362</v>
      </c>
      <c r="AC55" s="1"/>
      <c r="AF55" s="1"/>
      <c r="AG55" s="9">
        <f>_xlfn.STDEV.S(AG2:AG50)</f>
        <v>0.64029625591645256</v>
      </c>
      <c r="AH55" s="1"/>
      <c r="AK55" s="1"/>
      <c r="AL55" s="9">
        <f>_xlfn.STDEV.S(AL2:AL50)</f>
        <v>1.2859822162713948</v>
      </c>
      <c r="AM55" s="1"/>
      <c r="AP55" s="1"/>
      <c r="AQ55" s="9">
        <f>_xlfn.STDEV.S(AQ2:AQ50)</f>
        <v>1.9395516918468834</v>
      </c>
      <c r="AR55" s="1"/>
    </row>
    <row r="56" spans="1:45" x14ac:dyDescent="0.2">
      <c r="F56" t="s">
        <v>84</v>
      </c>
      <c r="G56" s="1">
        <v>0.3002253079545037</v>
      </c>
      <c r="H56" s="1"/>
      <c r="I56" s="1"/>
      <c r="J56" s="1"/>
      <c r="K56" s="1"/>
      <c r="L56" s="1"/>
      <c r="M56" s="1">
        <v>0.29938283035020652</v>
      </c>
      <c r="N56" s="1"/>
      <c r="O56" s="1"/>
      <c r="P56" s="1"/>
      <c r="Q56" s="1"/>
      <c r="R56" s="1">
        <v>0.67545474471337597</v>
      </c>
      <c r="S56" s="1"/>
      <c r="V56" s="1"/>
      <c r="W56" s="1">
        <v>0.26797061566473934</v>
      </c>
      <c r="X56" s="1"/>
      <c r="AA56" s="1"/>
      <c r="AB56" s="1">
        <v>1.2683148507975326</v>
      </c>
      <c r="AC56" s="1"/>
      <c r="AF56" s="1"/>
      <c r="AG56" s="1">
        <v>-0.32604404478559224</v>
      </c>
      <c r="AH56" s="1"/>
      <c r="AK56" s="1"/>
      <c r="AL56" s="1">
        <v>0.67545474471337597</v>
      </c>
      <c r="AM56" s="1"/>
      <c r="AP56" s="1"/>
      <c r="AQ56" s="1">
        <v>0.11812380194095101</v>
      </c>
      <c r="AR56" s="1"/>
    </row>
    <row r="57" spans="1:45" x14ac:dyDescent="0.2">
      <c r="F57" t="s">
        <v>85</v>
      </c>
      <c r="G57" s="1">
        <v>1.1506692983764981</v>
      </c>
      <c r="H57" s="1"/>
      <c r="I57" s="1"/>
      <c r="J57" s="1"/>
      <c r="K57" s="1"/>
      <c r="L57" s="1"/>
      <c r="M57" s="1">
        <v>0.94994668556802808</v>
      </c>
      <c r="N57" s="1"/>
      <c r="O57" s="1"/>
      <c r="P57" s="1"/>
      <c r="Q57" s="1"/>
      <c r="R57" s="1">
        <v>0.93968880571588298</v>
      </c>
      <c r="S57" s="1"/>
      <c r="V57" s="1"/>
      <c r="W57" s="1">
        <v>0.83871694588388679</v>
      </c>
      <c r="X57" s="1"/>
      <c r="AA57" s="1"/>
      <c r="AB57" s="1">
        <v>0.53126365448429036</v>
      </c>
      <c r="AC57" s="1"/>
      <c r="AF57" s="1"/>
      <c r="AG57" s="1">
        <v>0.37292659947516854</v>
      </c>
      <c r="AH57" s="1"/>
      <c r="AK57" s="1"/>
      <c r="AL57" s="1">
        <v>0.93968880571588298</v>
      </c>
      <c r="AM57" s="1"/>
      <c r="AP57" s="1"/>
      <c r="AQ57" s="1">
        <v>1.0187024560138165</v>
      </c>
      <c r="AR57" s="1"/>
    </row>
    <row r="58" spans="1:45" x14ac:dyDescent="0.2">
      <c r="G58" s="1"/>
    </row>
    <row r="59" spans="1:45" x14ac:dyDescent="0.2">
      <c r="G59" s="1"/>
    </row>
  </sheetData>
  <sortState xmlns:xlrd2="http://schemas.microsoft.com/office/spreadsheetml/2017/richdata2" ref="B1:B18">
    <sortCondition ref="B1:B18"/>
  </sortState>
  <mergeCells count="7">
    <mergeCell ref="A45:A50"/>
    <mergeCell ref="A2:A8"/>
    <mergeCell ref="A9:A15"/>
    <mergeCell ref="A16:A22"/>
    <mergeCell ref="A23:A29"/>
    <mergeCell ref="A30:A36"/>
    <mergeCell ref="A37:A4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F31B6-6321-064B-A421-16BEF63F4A2F}">
  <dimension ref="B3:J11"/>
  <sheetViews>
    <sheetView zoomScale="150" zoomScaleNormal="150" workbookViewId="0">
      <selection activeCell="B7" sqref="B7"/>
    </sheetView>
  </sheetViews>
  <sheetFormatPr baseColWidth="10" defaultRowHeight="16" x14ac:dyDescent="0.2"/>
  <cols>
    <col min="2" max="2" width="13.83203125" bestFit="1" customWidth="1"/>
  </cols>
  <sheetData>
    <row r="3" spans="2:10" x14ac:dyDescent="0.2">
      <c r="G3" t="s">
        <v>94</v>
      </c>
    </row>
    <row r="4" spans="2:10" x14ac:dyDescent="0.2">
      <c r="B4" t="s">
        <v>93</v>
      </c>
      <c r="C4" s="10" t="s">
        <v>95</v>
      </c>
      <c r="D4" s="10" t="s">
        <v>82</v>
      </c>
      <c r="E4" s="10" t="s">
        <v>87</v>
      </c>
      <c r="F4" s="10" t="s">
        <v>88</v>
      </c>
      <c r="G4" s="10" t="s">
        <v>67</v>
      </c>
      <c r="H4" s="10" t="s">
        <v>96</v>
      </c>
      <c r="I4" s="10" t="s">
        <v>97</v>
      </c>
      <c r="J4" s="10" t="s">
        <v>98</v>
      </c>
    </row>
    <row r="5" spans="2:10" x14ac:dyDescent="0.2">
      <c r="B5" s="10" t="s">
        <v>15</v>
      </c>
      <c r="C5" s="17">
        <f>'Pseudo-random group members'!O2</f>
        <v>-1.5016365566305852</v>
      </c>
      <c r="D5" s="18">
        <f>'Pseudo-random group members'!T2</f>
        <v>-1.2494555579710698</v>
      </c>
      <c r="E5" s="18">
        <f>'Pseudo-random group members'!Y2</f>
        <v>0.56204361110898005</v>
      </c>
      <c r="F5" s="18">
        <f>'Pseudo-random group members'!AD2</f>
        <v>0.86531091998992893</v>
      </c>
      <c r="G5" s="18">
        <f>'Pseudo-random group members'!I2</f>
        <v>-2.2027144876976168</v>
      </c>
      <c r="H5" s="18">
        <f>'Pseudo-random group members'!AI2</f>
        <v>-0.1439200151340434</v>
      </c>
      <c r="I5" s="18">
        <f>'Pseudo-random group members'!AN2</f>
        <v>-1.8561492961629278</v>
      </c>
      <c r="J5" s="18">
        <f>'Pseudo-random group members'!AS2</f>
        <v>-1.4549224817926583</v>
      </c>
    </row>
    <row r="6" spans="2:10" x14ac:dyDescent="0.2">
      <c r="B6" s="10" t="s">
        <v>17</v>
      </c>
      <c r="C6" s="18">
        <f>'Pseudo-random group members'!O9</f>
        <v>1.0538578967142003</v>
      </c>
      <c r="D6" s="18">
        <f>'Pseudo-random group members'!T9</f>
        <v>1.1145289484745842</v>
      </c>
      <c r="E6" s="18">
        <f>'Pseudo-random group members'!Y9</f>
        <v>1.1958644895878334</v>
      </c>
      <c r="F6" s="18">
        <f>'Pseudo-random group members'!AD9</f>
        <v>0.58595625367718618</v>
      </c>
      <c r="G6" s="17">
        <f>'Pseudo-random group members'!I9</f>
        <v>-3.5000000000000004</v>
      </c>
      <c r="H6" s="18">
        <f>'Pseudo-random group members'!AI9</f>
        <v>-2.7557217663517797</v>
      </c>
      <c r="I6" s="18">
        <f>'Pseudo-random group members'!AN9</f>
        <v>-2.9576332853744418</v>
      </c>
      <c r="J6" s="18">
        <f>'Pseudo-random group members'!AS9</f>
        <v>-1.9263983550750601</v>
      </c>
    </row>
    <row r="7" spans="2:10" x14ac:dyDescent="0.2">
      <c r="B7" s="10" t="s">
        <v>24</v>
      </c>
      <c r="C7" s="18">
        <f>'Pseudo-random group members'!O16</f>
        <v>-0.75842454469092302</v>
      </c>
      <c r="D7" s="17">
        <f>'Pseudo-random group members'!T16</f>
        <v>-3.5</v>
      </c>
      <c r="E7" s="17">
        <f>'Pseudo-random group members'!Y16</f>
        <v>-2.9994450044034235</v>
      </c>
      <c r="F7" s="18">
        <f>'Pseudo-random group members'!AD16</f>
        <v>-1.8474502769285286</v>
      </c>
      <c r="G7" s="18">
        <f>'Pseudo-random group members'!I16</f>
        <v>1.3971270737039772</v>
      </c>
      <c r="H7" s="18">
        <f>'Pseudo-random group members'!AI16</f>
        <v>-1.1557423198101204</v>
      </c>
      <c r="I7" s="18">
        <f>'Pseudo-random group members'!AN16</f>
        <v>-0.99518758083152647</v>
      </c>
      <c r="J7" s="18">
        <f>'Pseudo-random group members'!AS16</f>
        <v>1.2280133869859391</v>
      </c>
    </row>
    <row r="8" spans="2:10" x14ac:dyDescent="0.2">
      <c r="B8" s="10" t="s">
        <v>32</v>
      </c>
      <c r="C8" s="18">
        <f>'Pseudo-random group members'!O23</f>
        <v>0.35929054423656198</v>
      </c>
      <c r="D8" s="18">
        <f>'Pseudo-random group members'!T23</f>
        <v>-0.94655619063858254</v>
      </c>
      <c r="E8" s="18">
        <f>'Pseudo-random group members'!Y23</f>
        <v>-0.73474553998438563</v>
      </c>
      <c r="F8" s="18">
        <f>'Pseudo-random group members'!AD23</f>
        <v>-0.85142561873806166</v>
      </c>
      <c r="G8" s="18">
        <f>'Pseudo-random group members'!I23</f>
        <v>-1.9155767475845473</v>
      </c>
      <c r="H8" s="18">
        <f>'Pseudo-random group members'!AI23</f>
        <v>-2.8505933103528212</v>
      </c>
      <c r="I8" s="18">
        <f>'Pseudo-random group members'!AN23</f>
        <v>-1.76840559775156</v>
      </c>
      <c r="J8" s="18">
        <f>'Pseudo-random group members'!AS23</f>
        <v>-1.3995388226490821</v>
      </c>
    </row>
    <row r="9" spans="2:10" x14ac:dyDescent="0.2">
      <c r="B9" s="10" t="s">
        <v>40</v>
      </c>
      <c r="C9" s="18">
        <f>'Pseudo-random group members'!O30</f>
        <v>-0.59208972534977022</v>
      </c>
      <c r="D9" s="18">
        <f>'Pseudo-random group members'!T30</f>
        <v>-1.0034232599944706</v>
      </c>
      <c r="E9" s="18">
        <f>'Pseudo-random group members'!Y30</f>
        <v>-1.7402021979366347</v>
      </c>
      <c r="F9" s="17">
        <f>'Pseudo-random group members'!AD30</f>
        <v>-2.385646360572593</v>
      </c>
      <c r="G9" s="18">
        <f>'Pseudo-random group members'!I30</f>
        <v>-1.1786367075425546</v>
      </c>
      <c r="H9" s="17">
        <f>'Pseudo-random group members'!AI30</f>
        <v>-3.5000000000000004</v>
      </c>
      <c r="I9" s="18">
        <f>'Pseudo-random group members'!AN30</f>
        <v>-1.579199573831078</v>
      </c>
      <c r="J9" s="17">
        <f>'Pseudo-random group members'!AS30</f>
        <v>-2.6743884500782968</v>
      </c>
    </row>
    <row r="10" spans="2:10" x14ac:dyDescent="0.2">
      <c r="B10" s="10" t="s">
        <v>48</v>
      </c>
      <c r="C10" s="17">
        <f>'Pseudo-random group members'!O37</f>
        <v>-1.8190594461321024</v>
      </c>
      <c r="D10" s="18">
        <f>'Pseudo-random group members'!T37</f>
        <v>-1.7122665170124587</v>
      </c>
      <c r="E10" s="17">
        <f>'Pseudo-random group members'!Y37</f>
        <v>-2.337086680945923</v>
      </c>
      <c r="F10" s="17">
        <f>'Pseudo-random group members'!AD37</f>
        <v>-2.3197846169694492</v>
      </c>
      <c r="G10" s="18">
        <f>'Pseudo-random group members'!I37</f>
        <v>-1.4459916780951432</v>
      </c>
      <c r="H10" s="17">
        <f>'Pseudo-random group members'!AI37</f>
        <v>-3.5000000000000004</v>
      </c>
      <c r="I10" s="17">
        <f>'Pseudo-random group members'!AN37</f>
        <v>-3.1739710181044285</v>
      </c>
      <c r="J10" s="17">
        <f>'Pseudo-random group members'!AS37</f>
        <v>-2.7849554594251886</v>
      </c>
    </row>
    <row r="11" spans="2:10" x14ac:dyDescent="0.2">
      <c r="B11" s="10" t="s">
        <v>60</v>
      </c>
      <c r="C11" s="18">
        <f>'Pseudo-random group members'!O44</f>
        <v>0.75806183185261877</v>
      </c>
      <c r="D11" s="18">
        <f>'Pseudo-random group members'!T44</f>
        <v>-0.70282742285800259</v>
      </c>
      <c r="E11" s="18">
        <f>'Pseudo-random group members'!Y44</f>
        <v>-1.9464286774264468</v>
      </c>
      <c r="F11" s="18">
        <f>'Pseudo-random group members'!AD44</f>
        <v>-1.0469603004584862</v>
      </c>
      <c r="G11" s="18">
        <f>'Pseudo-random group members'!I44</f>
        <v>-1.6542074527841166</v>
      </c>
      <c r="H11" s="17">
        <f>'Pseudo-random group members'!AI44</f>
        <v>-3.0940225883512364</v>
      </c>
      <c r="I11" s="17">
        <f>'Pseudo-random group members'!AN44</f>
        <v>-3.5</v>
      </c>
      <c r="J11" s="17">
        <f>'Pseudo-random group members'!AS44</f>
        <v>-2.9878098179656525</v>
      </c>
    </row>
  </sheetData>
  <conditionalFormatting sqref="C5:C11">
    <cfRule type="colorScale" priority="15">
      <colorScale>
        <cfvo type="min"/>
        <cfvo type="max"/>
        <color theme="0"/>
        <color theme="1"/>
      </colorScale>
    </cfRule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5:D11">
    <cfRule type="colorScale" priority="13">
      <colorScale>
        <cfvo type="min"/>
        <cfvo type="max"/>
        <color theme="0"/>
        <color theme="1"/>
      </colorScale>
    </cfRule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5:E11">
    <cfRule type="colorScale" priority="11">
      <colorScale>
        <cfvo type="min"/>
        <cfvo type="max"/>
        <color theme="0"/>
        <color theme="1"/>
      </colorScale>
    </cfRule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5:F11">
    <cfRule type="colorScale" priority="9">
      <colorScale>
        <cfvo type="min"/>
        <cfvo type="max"/>
        <color theme="0"/>
        <color theme="1"/>
      </colorScale>
    </cfRule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5:G11">
    <cfRule type="colorScale" priority="7">
      <colorScale>
        <cfvo type="min"/>
        <cfvo type="max"/>
        <color theme="0"/>
        <color theme="1"/>
      </colorScale>
    </cfRule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5:H11">
    <cfRule type="colorScale" priority="5">
      <colorScale>
        <cfvo type="min"/>
        <cfvo type="max"/>
        <color theme="0"/>
        <color theme="1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I5:I11">
    <cfRule type="colorScale" priority="3">
      <colorScale>
        <cfvo type="min"/>
        <cfvo type="max"/>
        <color theme="0"/>
        <color theme="1"/>
      </colorScale>
    </cfRule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J5:J11">
    <cfRule type="colorScale" priority="1">
      <colorScale>
        <cfvo type="min"/>
        <cfvo type="max"/>
        <color theme="0"/>
        <color theme="1"/>
      </colorScale>
    </cfRule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5B60-3087-EB45-A8CD-D535FB57FD7A}">
  <dimension ref="A1:CA50"/>
  <sheetViews>
    <sheetView zoomScale="150" zoomScaleNormal="1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R23" sqref="R23"/>
    </sheetView>
  </sheetViews>
  <sheetFormatPr baseColWidth="10" defaultRowHeight="16" x14ac:dyDescent="0.2"/>
  <cols>
    <col min="1" max="1" width="12.33203125" bestFit="1" customWidth="1"/>
    <col min="2" max="2" width="10.5" bestFit="1" customWidth="1"/>
    <col min="3" max="3" width="13.5" bestFit="1" customWidth="1"/>
    <col min="4" max="4" width="11.6640625" bestFit="1" customWidth="1"/>
    <col min="5" max="5" width="31.33203125" bestFit="1" customWidth="1"/>
    <col min="6" max="6" width="17.1640625" bestFit="1" customWidth="1"/>
    <col min="7" max="7" width="7" bestFit="1" customWidth="1"/>
    <col min="8" max="8" width="6.6640625" bestFit="1" customWidth="1"/>
    <col min="9" max="9" width="9.1640625" bestFit="1" customWidth="1"/>
    <col min="10" max="10" width="30.83203125" bestFit="1" customWidth="1"/>
    <col min="11" max="11" width="9.1640625" bestFit="1" customWidth="1"/>
    <col min="12" max="12" width="9.1640625" customWidth="1"/>
    <col min="13" max="13" width="8.33203125" bestFit="1" customWidth="1"/>
    <col min="14" max="14" width="9.1640625" bestFit="1" customWidth="1"/>
    <col min="15" max="15" width="28" bestFit="1" customWidth="1"/>
    <col min="16" max="16" width="10.83203125" bestFit="1" customWidth="1"/>
    <col min="17" max="17" width="10.83203125" customWidth="1"/>
    <col min="18" max="18" width="6.6640625" bestFit="1" customWidth="1"/>
    <col min="19" max="19" width="9.1640625" bestFit="1" customWidth="1"/>
    <col min="20" max="20" width="26" bestFit="1" customWidth="1"/>
    <col min="21" max="21" width="10.83203125" bestFit="1" customWidth="1"/>
    <col min="22" max="22" width="10.83203125" customWidth="1"/>
    <col min="23" max="23" width="6.6640625" bestFit="1" customWidth="1"/>
    <col min="24" max="24" width="9.1640625" bestFit="1" customWidth="1"/>
    <col min="25" max="25" width="25.33203125" bestFit="1" customWidth="1"/>
    <col min="26" max="26" width="9.1640625" bestFit="1" customWidth="1"/>
    <col min="27" max="27" width="3.6640625" bestFit="1" customWidth="1"/>
    <col min="28" max="28" width="6.6640625" bestFit="1" customWidth="1"/>
    <col min="29" max="29" width="9.1640625" bestFit="1" customWidth="1"/>
    <col min="30" max="30" width="23.5" bestFit="1" customWidth="1"/>
    <col min="31" max="31" width="9.1640625" bestFit="1" customWidth="1"/>
    <col min="32" max="32" width="3.6640625" bestFit="1" customWidth="1"/>
    <col min="33" max="33" width="6.6640625" bestFit="1" customWidth="1"/>
    <col min="34" max="34" width="9.1640625" bestFit="1" customWidth="1"/>
    <col min="35" max="35" width="23" bestFit="1" customWidth="1"/>
    <col min="36" max="36" width="9.1640625" bestFit="1" customWidth="1"/>
    <col min="37" max="37" width="9.1640625" customWidth="1"/>
    <col min="38" max="38" width="6.6640625" bestFit="1" customWidth="1"/>
    <col min="39" max="39" width="9.1640625" bestFit="1" customWidth="1"/>
    <col min="40" max="40" width="29.1640625" bestFit="1" customWidth="1"/>
    <col min="41" max="41" width="9.1640625" bestFit="1" customWidth="1"/>
    <col min="42" max="42" width="5.5" bestFit="1" customWidth="1"/>
    <col min="43" max="43" width="6.6640625" bestFit="1" customWidth="1"/>
    <col min="44" max="44" width="9.1640625" bestFit="1" customWidth="1"/>
    <col min="45" max="45" width="27.33203125" bestFit="1" customWidth="1"/>
    <col min="46" max="46" width="9.1640625" bestFit="1" customWidth="1"/>
    <col min="47" max="47" width="9.1640625" customWidth="1"/>
    <col min="48" max="48" width="6.6640625" bestFit="1" customWidth="1"/>
    <col min="49" max="49" width="9.1640625" bestFit="1" customWidth="1"/>
    <col min="50" max="50" width="28.33203125" bestFit="1" customWidth="1"/>
    <col min="51" max="51" width="9.1640625" bestFit="1" customWidth="1"/>
    <col min="52" max="52" width="4.5" bestFit="1" customWidth="1"/>
    <col min="53" max="53" width="6.6640625" bestFit="1" customWidth="1"/>
    <col min="54" max="54" width="9.1640625" bestFit="1" customWidth="1"/>
    <col min="55" max="55" width="30" bestFit="1" customWidth="1"/>
    <col min="56" max="56" width="9.1640625" bestFit="1" customWidth="1"/>
    <col min="57" max="57" width="4.5" bestFit="1" customWidth="1"/>
    <col min="58" max="58" width="7.5" bestFit="1" customWidth="1"/>
    <col min="59" max="59" width="9.1640625" bestFit="1" customWidth="1"/>
    <col min="60" max="60" width="24.1640625" bestFit="1" customWidth="1"/>
    <col min="61" max="61" width="10.83203125" bestFit="1" customWidth="1"/>
    <col min="62" max="62" width="5.5" bestFit="1" customWidth="1"/>
    <col min="63" max="63" width="6.6640625" bestFit="1" customWidth="1"/>
    <col min="64" max="64" width="9.1640625" bestFit="1" customWidth="1"/>
    <col min="65" max="65" width="24.1640625" bestFit="1" customWidth="1"/>
    <col min="66" max="66" width="10.83203125" bestFit="1" customWidth="1"/>
    <col min="67" max="67" width="7" bestFit="1" customWidth="1"/>
    <col min="68" max="68" width="6.6640625" bestFit="1" customWidth="1"/>
    <col min="69" max="69" width="9.1640625" bestFit="1" customWidth="1"/>
    <col min="70" max="70" width="25" bestFit="1" customWidth="1"/>
    <col min="71" max="71" width="9.1640625" bestFit="1" customWidth="1"/>
    <col min="72" max="72" width="9.1640625" customWidth="1"/>
    <col min="73" max="73" width="6.6640625" bestFit="1" customWidth="1"/>
    <col min="74" max="74" width="9.1640625" bestFit="1" customWidth="1"/>
    <col min="75" max="75" width="25" bestFit="1" customWidth="1"/>
    <col min="76" max="76" width="9.1640625" bestFit="1" customWidth="1"/>
    <col min="77" max="77" width="9.1640625" customWidth="1"/>
    <col min="78" max="78" width="6.6640625" bestFit="1" customWidth="1"/>
    <col min="79" max="79" width="9.1640625" bestFit="1" customWidth="1"/>
  </cols>
  <sheetData>
    <row r="1" spans="1:79" x14ac:dyDescent="0.2">
      <c r="A1" s="11" t="s">
        <v>68</v>
      </c>
      <c r="B1" s="12" t="s">
        <v>209</v>
      </c>
      <c r="C1" s="12" t="s">
        <v>210</v>
      </c>
      <c r="D1" s="12" t="s">
        <v>246</v>
      </c>
      <c r="E1" s="11" t="s">
        <v>70</v>
      </c>
      <c r="F1" s="12" t="s">
        <v>6</v>
      </c>
      <c r="G1" s="12" t="s">
        <v>300</v>
      </c>
      <c r="H1" s="11" t="s">
        <v>76</v>
      </c>
      <c r="I1" s="11" t="s">
        <v>78</v>
      </c>
      <c r="J1" s="16" t="s">
        <v>247</v>
      </c>
      <c r="K1" s="11" t="s">
        <v>6</v>
      </c>
      <c r="L1" s="11" t="s">
        <v>300</v>
      </c>
      <c r="M1" s="11" t="s">
        <v>76</v>
      </c>
      <c r="N1" s="11" t="s">
        <v>78</v>
      </c>
      <c r="O1" s="11" t="s">
        <v>71</v>
      </c>
      <c r="P1" s="11" t="s">
        <v>6</v>
      </c>
      <c r="Q1" s="11" t="s">
        <v>300</v>
      </c>
      <c r="R1" s="11" t="s">
        <v>76</v>
      </c>
      <c r="S1" s="11" t="s">
        <v>78</v>
      </c>
      <c r="T1" s="11" t="s">
        <v>251</v>
      </c>
      <c r="U1" s="11" t="s">
        <v>6</v>
      </c>
      <c r="V1" s="11" t="s">
        <v>300</v>
      </c>
      <c r="W1" s="11" t="s">
        <v>76</v>
      </c>
      <c r="X1" s="11" t="s">
        <v>78</v>
      </c>
      <c r="Y1" s="11" t="s">
        <v>77</v>
      </c>
      <c r="Z1" s="11" t="s">
        <v>6</v>
      </c>
      <c r="AA1" s="11" t="s">
        <v>300</v>
      </c>
      <c r="AB1" s="11" t="s">
        <v>76</v>
      </c>
      <c r="AC1" s="11" t="s">
        <v>78</v>
      </c>
      <c r="AD1" s="11" t="s">
        <v>261</v>
      </c>
      <c r="AE1" s="11" t="s">
        <v>6</v>
      </c>
      <c r="AF1" s="11" t="s">
        <v>300</v>
      </c>
      <c r="AG1" s="11" t="s">
        <v>76</v>
      </c>
      <c r="AH1" s="11" t="s">
        <v>78</v>
      </c>
      <c r="AI1" s="11" t="s">
        <v>86</v>
      </c>
      <c r="AJ1" s="11" t="s">
        <v>6</v>
      </c>
      <c r="AK1" s="11"/>
      <c r="AL1" s="11" t="s">
        <v>76</v>
      </c>
      <c r="AM1" s="11" t="s">
        <v>78</v>
      </c>
      <c r="AN1" s="11" t="s">
        <v>260</v>
      </c>
      <c r="AO1" s="11" t="s">
        <v>6</v>
      </c>
      <c r="AP1" s="11" t="s">
        <v>300</v>
      </c>
      <c r="AQ1" s="11" t="s">
        <v>76</v>
      </c>
      <c r="AR1" s="11" t="s">
        <v>78</v>
      </c>
      <c r="AS1" s="11" t="s">
        <v>262</v>
      </c>
      <c r="AT1" s="11" t="s">
        <v>6</v>
      </c>
      <c r="AU1" s="11" t="s">
        <v>300</v>
      </c>
      <c r="AV1" s="11" t="s">
        <v>76</v>
      </c>
      <c r="AW1" s="11" t="s">
        <v>78</v>
      </c>
      <c r="AX1" s="16" t="s">
        <v>90</v>
      </c>
      <c r="AY1" s="11" t="s">
        <v>6</v>
      </c>
      <c r="AZ1" s="11" t="s">
        <v>300</v>
      </c>
      <c r="BA1" s="11" t="s">
        <v>76</v>
      </c>
      <c r="BB1" s="11" t="s">
        <v>78</v>
      </c>
      <c r="BC1" s="16" t="s">
        <v>266</v>
      </c>
      <c r="BD1" s="11" t="s">
        <v>6</v>
      </c>
      <c r="BE1" s="11" t="s">
        <v>300</v>
      </c>
      <c r="BF1" s="11" t="s">
        <v>76</v>
      </c>
      <c r="BG1" s="11" t="s">
        <v>78</v>
      </c>
      <c r="BH1" s="11" t="s">
        <v>91</v>
      </c>
      <c r="BI1" s="11" t="s">
        <v>6</v>
      </c>
      <c r="BJ1" s="11" t="s">
        <v>300</v>
      </c>
      <c r="BK1" s="11" t="s">
        <v>76</v>
      </c>
      <c r="BL1" s="11" t="s">
        <v>78</v>
      </c>
      <c r="BM1" s="11" t="s">
        <v>265</v>
      </c>
      <c r="BN1" s="11" t="s">
        <v>6</v>
      </c>
      <c r="BO1" s="11" t="s">
        <v>300</v>
      </c>
      <c r="BP1" s="11" t="s">
        <v>76</v>
      </c>
      <c r="BQ1" s="11" t="s">
        <v>78</v>
      </c>
      <c r="BR1" s="11" t="s">
        <v>92</v>
      </c>
      <c r="BS1" s="11" t="s">
        <v>6</v>
      </c>
      <c r="BT1" s="11"/>
      <c r="BU1" s="11" t="s">
        <v>76</v>
      </c>
      <c r="BV1" s="11" t="s">
        <v>78</v>
      </c>
      <c r="BW1" s="11" t="s">
        <v>267</v>
      </c>
      <c r="BX1" s="11" t="s">
        <v>6</v>
      </c>
      <c r="BY1" s="11"/>
      <c r="BZ1" s="11" t="s">
        <v>76</v>
      </c>
      <c r="CA1" s="11" t="s">
        <v>78</v>
      </c>
    </row>
    <row r="2" spans="1:79" x14ac:dyDescent="0.2">
      <c r="A2" s="14" t="s">
        <v>15</v>
      </c>
      <c r="B2" s="12">
        <v>424768</v>
      </c>
      <c r="C2" s="12">
        <v>22173</v>
      </c>
      <c r="D2" s="12">
        <v>6516</v>
      </c>
      <c r="E2" s="16" t="s">
        <v>249</v>
      </c>
      <c r="F2" s="12">
        <v>0</v>
      </c>
      <c r="G2" s="12">
        <v>2</v>
      </c>
      <c r="H2" s="13">
        <f t="shared" ref="H2:H41" si="0">IF(F2=0,-1,LOG((F2/1002889754) / (($C2/1002889754) * (F$42/1002889754)), 2) / -LOG(F2/1002889754, 2))</f>
        <v>-1</v>
      </c>
      <c r="I2" s="1">
        <f>AVERAGE(H2:H8)</f>
        <v>-1</v>
      </c>
      <c r="J2" s="13" t="str">
        <f>_xlfn.CONCAT("-very much ",$A2,".[jj*] [i*]")</f>
        <v>-very much old.[jj*] [i*]</v>
      </c>
      <c r="K2" s="12">
        <v>0</v>
      </c>
      <c r="L2" s="12"/>
      <c r="M2" s="13">
        <f t="shared" ref="M2:M41" si="1">IF(K2=0,-1,LOG((K2/1002889754) / (($D2/1002889754) * (K$42/1002889754)), 2) / -LOG(K2/1002889754, 2))</f>
        <v>-1</v>
      </c>
      <c r="N2" s="1">
        <f>AVERAGE(M2:M8)</f>
        <v>-0.86928191367280117</v>
      </c>
      <c r="O2" s="13" t="str">
        <f>_xlfn.CONCAT("more ",$A2,".[jj*] PUNC")</f>
        <v>more old.[jj*] PUNC</v>
      </c>
      <c r="P2" s="12">
        <v>3</v>
      </c>
      <c r="Q2" s="12">
        <v>9</v>
      </c>
      <c r="R2" s="13">
        <f t="shared" ref="R2:R41" si="2">IF(P2=0,-1,LOG((P2/1002889754) / (($C2/1002889754) * (P$42/1002889754)), 2) / -LOG(P2/1002889754, 2))</f>
        <v>-0.14391973333021738</v>
      </c>
      <c r="S2" s="1">
        <f>AVERAGE(R2:R8)</f>
        <v>-0.37901966260467568</v>
      </c>
      <c r="T2" s="13" t="str">
        <f>_xlfn.CONCAT("more ",$A2,".[jj*] [i*]")</f>
        <v>more old.[jj*] [i*]</v>
      </c>
      <c r="U2" s="12">
        <v>0</v>
      </c>
      <c r="V2" s="12"/>
      <c r="W2" s="13">
        <f t="shared" ref="W2:W41" si="3">IF(U2=0,-1,LOG((U2/1002889754) / (($D2/1002889754) * (U$42/1002889754)), 2) / -LOG(U2/1002889754, 2))</f>
        <v>-1</v>
      </c>
      <c r="X2" s="1">
        <f>AVERAGE(W2:W8)</f>
        <v>-0.74712761581191323</v>
      </c>
      <c r="Y2" s="11" t="str">
        <f t="shared" ref="Y2:Y29" si="4">_xlfn.CONCAT("less ",A2,".[jj*] PUNC")</f>
        <v>less old.[jj*] PUNC</v>
      </c>
      <c r="Z2" s="12">
        <v>3</v>
      </c>
      <c r="AA2" s="12">
        <v>1</v>
      </c>
      <c r="AB2" s="13">
        <f t="shared" ref="AB2:AB41" si="5">IF(Z2=0,-1,LOG((Z2/1002889754) / (($C2/1002889754) * (Z$42/1002889754)), 2) / -LOG(Z2/1002889754, 2))</f>
        <v>-4.6701100598379668E-2</v>
      </c>
      <c r="AC2" s="1">
        <f>AVERAGE(AB2:AB8)</f>
        <v>-3.4765302216635381E-2</v>
      </c>
      <c r="AD2" s="11" t="str">
        <f>_xlfn.CONCAT("less ",$A2,".[jj*] [i*]")</f>
        <v>less old.[jj*] [i*]</v>
      </c>
      <c r="AE2" s="12">
        <v>0</v>
      </c>
      <c r="AF2" s="12"/>
      <c r="AG2" s="13">
        <f t="shared" ref="AG2:AG41" si="6">IF(AE2=0,-1,LOG((AE2/1002889754) / (($D2/1002889754) * (AE$42/1002889754)), 2) / -LOG(AE2/1002889754, 2))</f>
        <v>-1</v>
      </c>
      <c r="AH2" s="1">
        <f>AVERAGE(AG2:AG8)</f>
        <v>-0.28548783030398683</v>
      </c>
      <c r="AI2" s="11" t="str">
        <f>_xlfn.CONCAT(,$A2,".[jj*] enough")</f>
        <v>old.[jj*] enough</v>
      </c>
      <c r="AJ2" s="12">
        <v>5945</v>
      </c>
      <c r="AK2" s="12"/>
      <c r="AL2" s="13">
        <f t="shared" ref="AL2:AL41" si="7">IF(AJ2=0,-1,LOG((AJ2/1002889754) / (($B2/1002889754) * (AJ$42/1002889754)), 2) / -LOG(AJ2/1002889754, 2))</f>
        <v>0.29635716640369125</v>
      </c>
      <c r="AM2" s="1">
        <f>AVERAGE(AL2:AL8)</f>
        <v>0.1896927792761017</v>
      </c>
      <c r="AN2" s="11" t="str">
        <f>_xlfn.CONCAT("that.[r*] ",$A2,".[jj*] PUNC")</f>
        <v>that.[r*] old.[jj*] PUNC</v>
      </c>
      <c r="AO2" s="12">
        <v>314</v>
      </c>
      <c r="AP2" s="12">
        <v>1</v>
      </c>
      <c r="AQ2" s="13">
        <f t="shared" ref="AQ2:AQ41" si="8">IF(AO2=0,-1,LOG((AO2/1002889754) / (($C2/1002889754) * (AO$42/1002889754)), 2) / -LOG(AO2/1002889754, 2))</f>
        <v>0.32280052480369065</v>
      </c>
      <c r="AR2" s="1">
        <f>AVERAGE(AQ2:AQ8)</f>
        <v>0.27655058853235825</v>
      </c>
      <c r="AS2" s="11" t="str">
        <f>_xlfn.CONCAT("that.[r*] ",$A2,".[jj*] [i*]")</f>
        <v>that.[r*] old.[jj*] [i*]</v>
      </c>
      <c r="AT2" s="12">
        <v>3</v>
      </c>
      <c r="AU2" s="12"/>
      <c r="AV2" s="13">
        <f t="shared" ref="AV2:AV41" si="9">IF(AT2=0,-1,LOG((AT2/1002889754) / (($D2/1002889754) * (AT$42/1002889754)), 2) / -LOG(AT2/1002889754, 2))</f>
        <v>7.1753235001218565E-2</v>
      </c>
      <c r="AW2" s="1">
        <f>AVERAGE(AV2:AV8)</f>
        <v>-8.8666556216982398E-2</v>
      </c>
      <c r="AX2" s="11" t="str">
        <f>_xlfn.CONCAT("-a little ",$A2,".[jj*] PUNC")</f>
        <v>-a little old.[jj*] PUNC</v>
      </c>
      <c r="AY2" s="12">
        <v>0</v>
      </c>
      <c r="AZ2" s="12">
        <v>6</v>
      </c>
      <c r="BA2" s="13">
        <f t="shared" ref="BA2:BA41" si="10">IF(AY2=0,-1,LOG((AY2/1002889754) / (($C2/1002889754) * (AY$42/1002889754)), 2) / -LOG(AY2/1002889754, 2))</f>
        <v>-1</v>
      </c>
      <c r="BB2" s="1">
        <f>AVERAGE(BA2:BA8)</f>
        <v>-1</v>
      </c>
      <c r="BC2" s="11" t="str">
        <f>_xlfn.CONCAT("-a little.[r*] ",$A2,".[jj*] [i*]")</f>
        <v>-a little.[r*] old.[jj*] [i*]</v>
      </c>
      <c r="BD2" s="12">
        <v>0</v>
      </c>
      <c r="BE2" s="12">
        <v>2</v>
      </c>
      <c r="BF2" s="13">
        <f t="shared" ref="BF2:BF41" si="11">IF(BD2=0,-1,LOG((BD2/1002889754) / (($D2/1002889754) * (BD$42/1002889754)), 2) / -LOG(BD2/1002889754, 2))</f>
        <v>-1</v>
      </c>
      <c r="BG2" s="1">
        <f>AVERAGE(BF2:BF8)</f>
        <v>-1</v>
      </c>
      <c r="BH2" s="11" t="str">
        <f>_xlfn.CONCAT("no ",$A2,".[jj*] PUNC")</f>
        <v>no old.[jj*] PUNC</v>
      </c>
      <c r="BI2" s="12">
        <v>0</v>
      </c>
      <c r="BJ2" s="11">
        <v>8</v>
      </c>
      <c r="BK2" s="13">
        <f t="shared" ref="BK2:BK41" si="12">IF(BI2=0,-1,LOG((BI2/1002889754) / (($C2/1002889754) * (BI$42/1002889754)), 2) / -LOG(BI2/1002889754, 2))</f>
        <v>-1</v>
      </c>
      <c r="BL2" s="1">
        <f>AVERAGE(BK2:BK8)</f>
        <v>-1</v>
      </c>
      <c r="BM2" s="11" t="str">
        <f>_xlfn.CONCAT("no ",$A2,".[jj*] [i*]")</f>
        <v>no old.[jj*] [i*]</v>
      </c>
      <c r="BN2" s="12">
        <v>0</v>
      </c>
      <c r="BO2" s="12"/>
      <c r="BP2" s="13">
        <f t="shared" ref="BP2:BP41" si="13">IF(BN2=0,-1,LOG((BN2/1002889754) / (($D2/1002889754) * (BN$42/1002889754)), 2) / -LOG(BN2/1002889754, 2))</f>
        <v>-1</v>
      </c>
      <c r="BQ2" s="1">
        <f>AVERAGE(BP2:BP8)</f>
        <v>-1</v>
      </c>
      <c r="BR2" s="11" t="str">
        <f>_xlfn.CONCAT("any ",$A2,".[jj*] PUNC")</f>
        <v>any old.[jj*] PUNC</v>
      </c>
      <c r="BS2" s="12">
        <v>0</v>
      </c>
      <c r="BT2" s="12">
        <v>9</v>
      </c>
      <c r="BU2" s="13">
        <f t="shared" ref="BU2:BU41" si="14">IF(BS2=0,-1,LOG((BS2/1002889754) / (($C2/1002889754) * (BS$42/1002889754)), 2) / -LOG(BS2/1002889754, 2))</f>
        <v>-1</v>
      </c>
      <c r="BV2" s="1">
        <f>AVERAGE(BU2:BU8)</f>
        <v>-1</v>
      </c>
      <c r="BW2" s="11" t="str">
        <f>_xlfn.CONCAT("any ",$A2,".[jj*] [i*]")</f>
        <v>any old.[jj*] [i*]</v>
      </c>
      <c r="BX2" s="12">
        <v>0</v>
      </c>
      <c r="BY2" s="12"/>
      <c r="BZ2" s="13">
        <f t="shared" ref="BZ2:BZ41" si="15">IF(BX2=0,-1,LOG((BX2/1002889754) / (($D2/1002889754) * (BX$42/1002889754)), 2) / -LOG(BX2/1002889754, 2))</f>
        <v>-1</v>
      </c>
      <c r="CA2" s="1">
        <f>AVERAGE(BZ2:BZ8)</f>
        <v>-1</v>
      </c>
    </row>
    <row r="3" spans="1:79" x14ac:dyDescent="0.2">
      <c r="A3" s="11" t="s">
        <v>7</v>
      </c>
      <c r="B3" s="12">
        <v>33189</v>
      </c>
      <c r="C3" s="12">
        <v>6043</v>
      </c>
      <c r="D3" s="12">
        <v>823</v>
      </c>
      <c r="E3" s="11" t="s">
        <v>211</v>
      </c>
      <c r="F3" s="12">
        <v>0</v>
      </c>
      <c r="G3" s="12"/>
      <c r="H3" s="13">
        <f t="shared" si="0"/>
        <v>-1</v>
      </c>
      <c r="I3" s="13"/>
      <c r="J3" s="13" t="str">
        <f t="shared" ref="J3:J29" si="16">_xlfn.CONCAT("-very much ",A3,".[jj*] [i*]")</f>
        <v>-very much fast.[jj*] [i*]</v>
      </c>
      <c r="K3" s="12">
        <v>0</v>
      </c>
      <c r="L3" s="12"/>
      <c r="M3" s="13">
        <f t="shared" si="1"/>
        <v>-1</v>
      </c>
      <c r="N3" s="13"/>
      <c r="O3" s="13" t="str">
        <f t="shared" ref="O3:O41" si="17">_xlfn.CONCAT("more ",$A3,".[jj*] PUNC")</f>
        <v>more fast.[jj*] PUNC</v>
      </c>
      <c r="P3" s="12">
        <v>0</v>
      </c>
      <c r="Q3" s="12"/>
      <c r="R3" s="13">
        <f t="shared" si="2"/>
        <v>-1</v>
      </c>
      <c r="S3" s="13"/>
      <c r="T3" s="13" t="str">
        <f>_xlfn.CONCAT("more ",$A3,".[jj*] [i*]")</f>
        <v>more fast.[jj*] [i*]</v>
      </c>
      <c r="U3" s="12">
        <v>0</v>
      </c>
      <c r="V3" s="12"/>
      <c r="W3" s="13">
        <f t="shared" si="3"/>
        <v>-1</v>
      </c>
      <c r="X3" s="13"/>
      <c r="Y3" s="11" t="str">
        <f t="shared" si="4"/>
        <v>less fast.[jj*] PUNC</v>
      </c>
      <c r="Z3" s="12">
        <v>1</v>
      </c>
      <c r="AA3" s="12"/>
      <c r="AB3" s="13">
        <f t="shared" si="5"/>
        <v>-3.4510276345936966E-2</v>
      </c>
      <c r="AC3" s="13"/>
      <c r="AD3" s="11" t="str">
        <f t="shared" ref="AD3:AD41" si="18">_xlfn.CONCAT("less ",$A3,".[jj*] [i*]")</f>
        <v>less fast.[jj*] [i*]</v>
      </c>
      <c r="AE3" s="12">
        <v>0</v>
      </c>
      <c r="AF3" s="12"/>
      <c r="AG3" s="13">
        <f t="shared" si="6"/>
        <v>-1</v>
      </c>
      <c r="AH3" s="13"/>
      <c r="AI3" s="11" t="str">
        <f t="shared" ref="AI3:AI41" si="19">_xlfn.CONCAT(,$A3,".[jj*] enough")</f>
        <v>fast.[jj*] enough</v>
      </c>
      <c r="AJ3" s="12">
        <v>92</v>
      </c>
      <c r="AK3" s="12"/>
      <c r="AL3" s="13">
        <f t="shared" si="7"/>
        <v>0.12019704383041394</v>
      </c>
      <c r="AM3" s="13"/>
      <c r="AN3" s="11" t="str">
        <f t="shared" ref="AN3:AN41" si="20">_xlfn.CONCAT("that.[r*] ",$A3,".[jj*] PUNC")</f>
        <v>that.[r*] fast.[jj*] PUNC</v>
      </c>
      <c r="AO3" s="12">
        <v>79</v>
      </c>
      <c r="AP3" s="12"/>
      <c r="AQ3" s="13">
        <f t="shared" si="8"/>
        <v>0.29067807486511504</v>
      </c>
      <c r="AR3" s="13"/>
      <c r="AS3" s="11" t="str">
        <f t="shared" ref="AS3:AS41" si="21">_xlfn.CONCAT("that.[r*] ",$A3,".[jj*] [i*]")</f>
        <v>that.[r*] fast.[jj*] [i*]</v>
      </c>
      <c r="AT3" s="12">
        <v>0</v>
      </c>
      <c r="AU3" s="12"/>
      <c r="AV3" s="13">
        <f t="shared" si="9"/>
        <v>-1</v>
      </c>
      <c r="AW3" s="13"/>
      <c r="AX3" s="11" t="str">
        <f t="shared" ref="AX3:AX41" si="22">_xlfn.CONCAT("-a little ",$A3,".[jj*] PUNC")</f>
        <v>-a little fast.[jj*] PUNC</v>
      </c>
      <c r="AY3" s="12">
        <v>0</v>
      </c>
      <c r="AZ3" s="12">
        <v>1</v>
      </c>
      <c r="BA3" s="13">
        <f t="shared" si="10"/>
        <v>-1</v>
      </c>
      <c r="BB3" s="13"/>
      <c r="BC3" s="11" t="str">
        <f t="shared" ref="BC3:BC41" si="23">_xlfn.CONCAT("-a little.[r*] ",$A3,".[jj*] [i*]")</f>
        <v>-a little.[r*] fast.[jj*] [i*]</v>
      </c>
      <c r="BD3" s="12">
        <v>0</v>
      </c>
      <c r="BE3" s="12"/>
      <c r="BF3" s="13">
        <f t="shared" si="11"/>
        <v>-1</v>
      </c>
      <c r="BG3" s="13"/>
      <c r="BH3" s="11" t="str">
        <f t="shared" ref="BH3:BH41" si="24">_xlfn.CONCAT("no ",$A3,".[jj*] PUNC")</f>
        <v>no fast.[jj*] PUNC</v>
      </c>
      <c r="BI3" s="12">
        <v>0</v>
      </c>
      <c r="BJ3" s="12"/>
      <c r="BK3" s="13">
        <f t="shared" si="12"/>
        <v>-1</v>
      </c>
      <c r="BL3" s="13"/>
      <c r="BM3" s="11" t="str">
        <f t="shared" ref="BM3:BM41" si="25">_xlfn.CONCAT("no ",$A3,".[jj*] [i*]")</f>
        <v>no fast.[jj*] [i*]</v>
      </c>
      <c r="BN3" s="12">
        <v>0</v>
      </c>
      <c r="BO3" s="12"/>
      <c r="BP3" s="13">
        <f t="shared" si="13"/>
        <v>-1</v>
      </c>
      <c r="BQ3" s="13"/>
      <c r="BR3" s="11" t="str">
        <f t="shared" ref="BR3:BR41" si="26">_xlfn.CONCAT("any ",$A3,".[jj*] PUNC")</f>
        <v>any fast.[jj*] PUNC</v>
      </c>
      <c r="BS3" s="12">
        <v>0</v>
      </c>
      <c r="BT3" s="12">
        <v>2</v>
      </c>
      <c r="BU3" s="13">
        <f t="shared" si="14"/>
        <v>-1</v>
      </c>
      <c r="BV3" s="13"/>
      <c r="BW3" s="11" t="str">
        <f t="shared" ref="BW3:BW41" si="27">_xlfn.CONCAT("any ",$A3,".[jj*] [i*]")</f>
        <v>any fast.[jj*] [i*]</v>
      </c>
      <c r="BX3" s="12">
        <v>0</v>
      </c>
      <c r="BY3" s="12"/>
      <c r="BZ3" s="13">
        <f t="shared" si="15"/>
        <v>-1</v>
      </c>
      <c r="CA3" s="13"/>
    </row>
    <row r="4" spans="1:79" x14ac:dyDescent="0.2">
      <c r="A4" s="11" t="s">
        <v>8</v>
      </c>
      <c r="B4" s="12">
        <v>316396</v>
      </c>
      <c r="C4" s="12">
        <v>33991</v>
      </c>
      <c r="D4" s="12">
        <v>5085</v>
      </c>
      <c r="E4" s="11" t="s">
        <v>212</v>
      </c>
      <c r="F4" s="12">
        <v>0</v>
      </c>
      <c r="G4" s="12">
        <v>2</v>
      </c>
      <c r="H4" s="13">
        <f t="shared" si="0"/>
        <v>-1</v>
      </c>
      <c r="I4" s="13"/>
      <c r="J4" s="13" t="str">
        <f t="shared" si="16"/>
        <v>-very much small.[jj*] [i*]</v>
      </c>
      <c r="K4" s="12">
        <v>0</v>
      </c>
      <c r="L4" s="12"/>
      <c r="M4" s="13">
        <f t="shared" si="1"/>
        <v>-1</v>
      </c>
      <c r="N4" s="13"/>
      <c r="O4" s="13" t="str">
        <f t="shared" si="17"/>
        <v>more small.[jj*] PUNC</v>
      </c>
      <c r="P4" s="12">
        <v>0</v>
      </c>
      <c r="Q4" s="12">
        <v>14</v>
      </c>
      <c r="R4" s="13">
        <f t="shared" si="2"/>
        <v>-1</v>
      </c>
      <c r="S4" s="13"/>
      <c r="T4" s="13" t="str">
        <f t="shared" ref="T4:T41" si="28">_xlfn.CONCAT("more ",$A4,".[jj*] [i*]")</f>
        <v>more small.[jj*] [i*]</v>
      </c>
      <c r="U4" s="12">
        <v>0</v>
      </c>
      <c r="V4" s="12"/>
      <c r="W4" s="13">
        <f t="shared" si="3"/>
        <v>-1</v>
      </c>
      <c r="X4" s="13"/>
      <c r="Y4" s="11" t="str">
        <f t="shared" si="4"/>
        <v>less small.[jj*] PUNC</v>
      </c>
      <c r="Z4" s="12">
        <v>4</v>
      </c>
      <c r="AA4" s="12"/>
      <c r="AB4" s="13">
        <f t="shared" si="5"/>
        <v>-5.4610851310695388E-2</v>
      </c>
      <c r="AC4" s="13"/>
      <c r="AD4" s="11" t="str">
        <f t="shared" si="18"/>
        <v>less small.[jj*] [i*]</v>
      </c>
      <c r="AE4" s="12">
        <v>1</v>
      </c>
      <c r="AF4" s="12"/>
      <c r="AG4" s="13">
        <f t="shared" si="6"/>
        <v>-2.6182365179463547E-2</v>
      </c>
      <c r="AH4" s="13"/>
      <c r="AI4" s="11" t="str">
        <f t="shared" si="19"/>
        <v>small.[jj*] enough</v>
      </c>
      <c r="AJ4" s="12">
        <v>1493</v>
      </c>
      <c r="AK4" s="12"/>
      <c r="AL4" s="13">
        <f t="shared" si="7"/>
        <v>0.18480898519538316</v>
      </c>
      <c r="AM4" s="13"/>
      <c r="AN4" s="11" t="str">
        <f t="shared" si="20"/>
        <v>that.[r*] small.[jj*] PUNC</v>
      </c>
      <c r="AO4" s="12">
        <v>128</v>
      </c>
      <c r="AP4" s="12">
        <v>1</v>
      </c>
      <c r="AQ4" s="13">
        <f t="shared" si="8"/>
        <v>0.22110970900566684</v>
      </c>
      <c r="AR4" s="13"/>
      <c r="AS4" s="11" t="str">
        <f t="shared" si="21"/>
        <v>that.[r*] small.[jj*] [i*]</v>
      </c>
      <c r="AT4" s="12">
        <v>2</v>
      </c>
      <c r="AU4" s="12"/>
      <c r="AV4" s="13">
        <f t="shared" si="9"/>
        <v>6.2438961525722196E-2</v>
      </c>
      <c r="AW4" s="13"/>
      <c r="AX4" s="11" t="str">
        <f t="shared" si="22"/>
        <v>-a little small.[jj*] PUNC</v>
      </c>
      <c r="AY4" s="12">
        <v>0</v>
      </c>
      <c r="AZ4" s="12">
        <v>2</v>
      </c>
      <c r="BA4" s="13">
        <f t="shared" si="10"/>
        <v>-1</v>
      </c>
      <c r="BB4" s="13"/>
      <c r="BC4" s="11" t="str">
        <f t="shared" si="23"/>
        <v>-a little.[r*] small.[jj*] [i*]</v>
      </c>
      <c r="BD4" s="12">
        <v>0</v>
      </c>
      <c r="BE4" s="12">
        <v>2</v>
      </c>
      <c r="BF4" s="13">
        <f t="shared" si="11"/>
        <v>-1</v>
      </c>
      <c r="BG4" s="13"/>
      <c r="BH4" s="11" t="str">
        <f t="shared" si="24"/>
        <v>no small.[jj*] PUNC</v>
      </c>
      <c r="BI4" s="12">
        <v>0</v>
      </c>
      <c r="BJ4" s="12">
        <v>10</v>
      </c>
      <c r="BK4" s="13">
        <f t="shared" si="12"/>
        <v>-1</v>
      </c>
      <c r="BL4" s="13"/>
      <c r="BM4" s="11" t="str">
        <f t="shared" si="25"/>
        <v>no small.[jj*] [i*]</v>
      </c>
      <c r="BN4" s="12">
        <v>0</v>
      </c>
      <c r="BO4" s="12"/>
      <c r="BP4" s="13">
        <f t="shared" si="13"/>
        <v>-1</v>
      </c>
      <c r="BQ4" s="13"/>
      <c r="BR4" s="11" t="str">
        <f t="shared" si="26"/>
        <v>any small.[jj*] PUNC</v>
      </c>
      <c r="BS4" s="12">
        <v>0</v>
      </c>
      <c r="BT4" s="12">
        <v>16</v>
      </c>
      <c r="BU4" s="13">
        <f t="shared" si="14"/>
        <v>-1</v>
      </c>
      <c r="BV4" s="13"/>
      <c r="BW4" s="11" t="str">
        <f t="shared" si="27"/>
        <v>any small.[jj*] [i*]</v>
      </c>
      <c r="BX4" s="12">
        <v>0</v>
      </c>
      <c r="BY4" s="12">
        <v>2</v>
      </c>
      <c r="BZ4" s="13">
        <f t="shared" si="15"/>
        <v>-1</v>
      </c>
      <c r="CA4" s="13"/>
    </row>
    <row r="5" spans="1:79" x14ac:dyDescent="0.2">
      <c r="A5" s="11" t="s">
        <v>13</v>
      </c>
      <c r="B5" s="12">
        <v>198235</v>
      </c>
      <c r="C5" s="12">
        <v>17434</v>
      </c>
      <c r="D5" s="12">
        <v>15709</v>
      </c>
      <c r="E5" s="11" t="s">
        <v>213</v>
      </c>
      <c r="F5" s="12">
        <v>0</v>
      </c>
      <c r="G5" s="12">
        <v>2</v>
      </c>
      <c r="H5" s="13">
        <f t="shared" si="0"/>
        <v>-1</v>
      </c>
      <c r="I5" s="13"/>
      <c r="J5" s="13" t="str">
        <f t="shared" si="16"/>
        <v>-very much hard.[jj*] [i*]</v>
      </c>
      <c r="K5" s="12">
        <v>0</v>
      </c>
      <c r="L5" s="12"/>
      <c r="M5" s="13">
        <f t="shared" si="1"/>
        <v>-1</v>
      </c>
      <c r="N5" s="13"/>
      <c r="O5" s="13" t="str">
        <f t="shared" si="17"/>
        <v>more hard.[jj*] PUNC</v>
      </c>
      <c r="P5" s="12">
        <v>7</v>
      </c>
      <c r="Q5" s="12"/>
      <c r="R5" s="13">
        <f t="shared" si="2"/>
        <v>-9.249291862481529E-2</v>
      </c>
      <c r="S5" s="13"/>
      <c r="T5" s="13" t="str">
        <f t="shared" si="28"/>
        <v>more hard.[jj*] [i*]</v>
      </c>
      <c r="U5" s="12">
        <v>1</v>
      </c>
      <c r="V5" s="12"/>
      <c r="W5" s="13">
        <f t="shared" si="3"/>
        <v>-0.17266886060028014</v>
      </c>
      <c r="X5" s="13"/>
      <c r="Y5" s="11" t="str">
        <f t="shared" si="4"/>
        <v>less hard.[jj*] PUNC</v>
      </c>
      <c r="Z5" s="12">
        <v>6</v>
      </c>
      <c r="AA5" s="12">
        <v>4</v>
      </c>
      <c r="AB5" s="13">
        <f t="shared" si="5"/>
        <v>8.9638530994960318E-4</v>
      </c>
      <c r="AC5" s="13"/>
      <c r="AD5" s="11" t="str">
        <f t="shared" si="18"/>
        <v>less hard.[jj*] [i*]</v>
      </c>
      <c r="AE5" s="12">
        <v>2</v>
      </c>
      <c r="AF5" s="12"/>
      <c r="AG5" s="13">
        <f t="shared" si="6"/>
        <v>-4.8792045363526299E-2</v>
      </c>
      <c r="AH5" s="13"/>
      <c r="AI5" s="11" t="str">
        <f t="shared" si="19"/>
        <v>hard.[jj*] enough</v>
      </c>
      <c r="AJ5" s="12">
        <v>239</v>
      </c>
      <c r="AK5" s="12"/>
      <c r="AL5" s="13">
        <f t="shared" si="7"/>
        <v>7.3126531879906739E-2</v>
      </c>
      <c r="AM5" s="13"/>
      <c r="AN5" s="11" t="str">
        <f t="shared" si="20"/>
        <v>that.[r*] hard.[jj*] PUNC</v>
      </c>
      <c r="AO5" s="12">
        <v>215</v>
      </c>
      <c r="AP5" s="12">
        <v>1</v>
      </c>
      <c r="AQ5" s="13">
        <f t="shared" si="8"/>
        <v>0.3058317501146629</v>
      </c>
      <c r="AR5" s="13"/>
      <c r="AS5" s="11" t="str">
        <f t="shared" si="21"/>
        <v>that.[r*] hard.[jj*] [i*]</v>
      </c>
      <c r="AT5" s="12">
        <v>2</v>
      </c>
      <c r="AU5" s="12"/>
      <c r="AV5" s="13">
        <f t="shared" si="9"/>
        <v>6.1349367608268734E-3</v>
      </c>
      <c r="AW5" s="13"/>
      <c r="AX5" s="11" t="str">
        <f t="shared" si="22"/>
        <v>-a little hard.[jj*] PUNC</v>
      </c>
      <c r="AY5" s="12">
        <v>0</v>
      </c>
      <c r="AZ5" s="12">
        <v>1</v>
      </c>
      <c r="BA5" s="13">
        <f t="shared" si="10"/>
        <v>-1</v>
      </c>
      <c r="BB5" s="13"/>
      <c r="BC5" s="11" t="str">
        <f t="shared" si="23"/>
        <v>-a little.[r*] hard.[jj*] [i*]</v>
      </c>
      <c r="BD5" s="12">
        <v>0</v>
      </c>
      <c r="BE5" s="12">
        <v>2</v>
      </c>
      <c r="BF5" s="13">
        <f t="shared" si="11"/>
        <v>-1</v>
      </c>
      <c r="BG5" s="13"/>
      <c r="BH5" s="11" t="str">
        <f t="shared" si="24"/>
        <v>no hard.[jj*] PUNC</v>
      </c>
      <c r="BI5" s="12">
        <v>0</v>
      </c>
      <c r="BJ5" s="12">
        <v>6</v>
      </c>
      <c r="BK5" s="13">
        <f t="shared" si="12"/>
        <v>-1</v>
      </c>
      <c r="BL5" s="13"/>
      <c r="BM5" s="11" t="str">
        <f t="shared" si="25"/>
        <v>no hard.[jj*] [i*]</v>
      </c>
      <c r="BN5" s="12">
        <v>0</v>
      </c>
      <c r="BO5" s="12"/>
      <c r="BP5" s="13">
        <f t="shared" si="13"/>
        <v>-1</v>
      </c>
      <c r="BQ5" s="13"/>
      <c r="BR5" s="11" t="str">
        <f t="shared" si="26"/>
        <v>any hard.[jj*] PUNC</v>
      </c>
      <c r="BS5" s="12">
        <v>0</v>
      </c>
      <c r="BT5" s="12">
        <v>6</v>
      </c>
      <c r="BU5" s="13">
        <f t="shared" si="14"/>
        <v>-1</v>
      </c>
      <c r="BV5" s="13"/>
      <c r="BW5" s="11" t="str">
        <f t="shared" si="27"/>
        <v>any hard.[jj*] [i*]</v>
      </c>
      <c r="BX5" s="12">
        <v>0</v>
      </c>
      <c r="BY5" s="12"/>
      <c r="BZ5" s="13">
        <f t="shared" si="15"/>
        <v>-1</v>
      </c>
      <c r="CA5" s="13"/>
    </row>
    <row r="6" spans="1:79" x14ac:dyDescent="0.2">
      <c r="A6" s="11" t="s">
        <v>14</v>
      </c>
      <c r="B6" s="12">
        <v>273970</v>
      </c>
      <c r="C6" s="12">
        <v>26387</v>
      </c>
      <c r="D6" s="12">
        <v>2994</v>
      </c>
      <c r="E6" s="11" t="s">
        <v>214</v>
      </c>
      <c r="F6" s="12">
        <v>0</v>
      </c>
      <c r="G6" s="12">
        <v>1</v>
      </c>
      <c r="H6" s="13">
        <f t="shared" si="0"/>
        <v>-1</v>
      </c>
      <c r="I6" s="13"/>
      <c r="J6" s="13" t="str">
        <f t="shared" si="16"/>
        <v>-very much young.[jj*] [i*]</v>
      </c>
      <c r="K6" s="12">
        <v>0</v>
      </c>
      <c r="L6" s="12"/>
      <c r="M6" s="13">
        <f t="shared" si="1"/>
        <v>-1</v>
      </c>
      <c r="N6" s="13"/>
      <c r="O6" s="13" t="str">
        <f t="shared" si="17"/>
        <v>more young.[jj*] PUNC</v>
      </c>
      <c r="P6" s="12">
        <v>1</v>
      </c>
      <c r="Q6" s="12">
        <v>21</v>
      </c>
      <c r="R6" s="13">
        <f t="shared" si="2"/>
        <v>-0.19769220707260279</v>
      </c>
      <c r="S6" s="13"/>
      <c r="T6" s="13" t="str">
        <f t="shared" si="28"/>
        <v>more young.[jj*] [i*]</v>
      </c>
      <c r="U6" s="12">
        <v>0</v>
      </c>
      <c r="V6" s="12">
        <v>3</v>
      </c>
      <c r="W6" s="13">
        <f t="shared" si="3"/>
        <v>-1</v>
      </c>
      <c r="X6" s="13"/>
      <c r="Y6" s="11" t="str">
        <f t="shared" si="4"/>
        <v>less young.[jj*] PUNC</v>
      </c>
      <c r="Z6" s="12">
        <v>1</v>
      </c>
      <c r="AA6" s="12"/>
      <c r="AB6" s="13">
        <f t="shared" si="5"/>
        <v>-0.10562675412912269</v>
      </c>
      <c r="AC6" s="13"/>
      <c r="AD6" s="11" t="str">
        <f t="shared" si="18"/>
        <v>less young.[jj*] [i*]</v>
      </c>
      <c r="AE6" s="12">
        <v>1</v>
      </c>
      <c r="AF6" s="12"/>
      <c r="AG6" s="13">
        <f t="shared" si="6"/>
        <v>-6.2601693725710609E-4</v>
      </c>
      <c r="AH6" s="13"/>
      <c r="AI6" s="11" t="str">
        <f t="shared" si="19"/>
        <v>young.[jj*] enough</v>
      </c>
      <c r="AJ6" s="12">
        <v>899</v>
      </c>
      <c r="AK6" s="12"/>
      <c r="AL6" s="13">
        <f t="shared" si="7"/>
        <v>0.15198785323981592</v>
      </c>
      <c r="AM6" s="13"/>
      <c r="AN6" s="11" t="str">
        <f t="shared" si="20"/>
        <v>that.[r*] young.[jj*] PUNC</v>
      </c>
      <c r="AO6" s="12">
        <v>145</v>
      </c>
      <c r="AP6" s="12">
        <v>1</v>
      </c>
      <c r="AQ6" s="13">
        <f t="shared" si="8"/>
        <v>0.24685675284029787</v>
      </c>
      <c r="AR6" s="13"/>
      <c r="AS6" s="11" t="str">
        <f t="shared" si="21"/>
        <v>that.[r*] young.[jj*] [i*]</v>
      </c>
      <c r="AT6" s="12">
        <v>1</v>
      </c>
      <c r="AU6" s="12"/>
      <c r="AV6" s="13">
        <f t="shared" si="9"/>
        <v>5.2464035502564829E-2</v>
      </c>
      <c r="AW6" s="13"/>
      <c r="AX6" s="11" t="str">
        <f t="shared" si="22"/>
        <v>-a little young.[jj*] PUNC</v>
      </c>
      <c r="AY6" s="12">
        <v>0</v>
      </c>
      <c r="AZ6" s="12">
        <v>6</v>
      </c>
      <c r="BA6" s="13">
        <f t="shared" si="10"/>
        <v>-1</v>
      </c>
      <c r="BB6" s="13"/>
      <c r="BC6" s="11" t="str">
        <f t="shared" si="23"/>
        <v>-a little.[r*] young.[jj*] [i*]</v>
      </c>
      <c r="BD6" s="12">
        <v>0</v>
      </c>
      <c r="BE6" s="12">
        <v>2</v>
      </c>
      <c r="BF6" s="13">
        <f t="shared" si="11"/>
        <v>-1</v>
      </c>
      <c r="BG6" s="13"/>
      <c r="BH6" s="11" t="str">
        <f t="shared" si="24"/>
        <v>no young.[jj*] PUNC</v>
      </c>
      <c r="BI6" s="12">
        <v>0</v>
      </c>
      <c r="BJ6" s="12">
        <v>6</v>
      </c>
      <c r="BK6" s="13">
        <f t="shared" si="12"/>
        <v>-1</v>
      </c>
      <c r="BL6" s="13"/>
      <c r="BM6" s="11" t="str">
        <f t="shared" si="25"/>
        <v>no young.[jj*] [i*]</v>
      </c>
      <c r="BN6" s="12">
        <v>0</v>
      </c>
      <c r="BO6" s="12"/>
      <c r="BP6" s="13">
        <f t="shared" si="13"/>
        <v>-1</v>
      </c>
      <c r="BQ6" s="13"/>
      <c r="BR6" s="11" t="str">
        <f t="shared" si="26"/>
        <v>any young.[jj*] PUNC</v>
      </c>
      <c r="BS6" s="12">
        <v>0</v>
      </c>
      <c r="BT6" s="12">
        <v>14</v>
      </c>
      <c r="BU6" s="13">
        <f t="shared" si="14"/>
        <v>-1</v>
      </c>
      <c r="BV6" s="13"/>
      <c r="BW6" s="11" t="str">
        <f t="shared" si="27"/>
        <v>any young.[jj*] [i*]</v>
      </c>
      <c r="BX6" s="12">
        <v>0</v>
      </c>
      <c r="BY6" s="12">
        <v>1</v>
      </c>
      <c r="BZ6" s="13">
        <f t="shared" si="15"/>
        <v>-1</v>
      </c>
      <c r="CA6" s="13"/>
    </row>
    <row r="7" spans="1:79" x14ac:dyDescent="0.2">
      <c r="A7" s="14" t="s">
        <v>248</v>
      </c>
      <c r="B7" s="12">
        <v>150128</v>
      </c>
      <c r="C7" s="12">
        <v>25348</v>
      </c>
      <c r="D7" s="12">
        <v>6546</v>
      </c>
      <c r="E7" s="16" t="s">
        <v>250</v>
      </c>
      <c r="F7" s="12">
        <v>0</v>
      </c>
      <c r="G7" s="12">
        <v>1</v>
      </c>
      <c r="H7" s="13">
        <f t="shared" si="0"/>
        <v>-1</v>
      </c>
      <c r="I7" s="13"/>
      <c r="J7" s="13" t="str">
        <f t="shared" si="16"/>
        <v>-very much strong.[jj*] [i*]</v>
      </c>
      <c r="K7" s="12">
        <v>1</v>
      </c>
      <c r="L7" s="12"/>
      <c r="M7" s="13">
        <f t="shared" si="1"/>
        <v>-8.4973395709607574E-2</v>
      </c>
      <c r="N7" s="13"/>
      <c r="O7" s="13" t="str">
        <f t="shared" si="17"/>
        <v>more strong.[jj*] PUNC</v>
      </c>
      <c r="P7" s="12">
        <v>26</v>
      </c>
      <c r="Q7" s="12">
        <v>6</v>
      </c>
      <c r="R7" s="13">
        <f t="shared" si="2"/>
        <v>-4.5748107222167517E-2</v>
      </c>
      <c r="S7" s="13"/>
      <c r="T7" s="13" t="str">
        <f t="shared" si="28"/>
        <v>more strong.[jj*] [i*]</v>
      </c>
      <c r="U7" s="12">
        <v>5</v>
      </c>
      <c r="V7" s="12"/>
      <c r="W7" s="13">
        <f t="shared" si="3"/>
        <v>-5.7224450083112013E-2</v>
      </c>
      <c r="X7" s="13"/>
      <c r="Y7" s="11" t="str">
        <f t="shared" si="4"/>
        <v>less strong.[jj*] PUNC</v>
      </c>
      <c r="Z7" s="12">
        <v>41</v>
      </c>
      <c r="AA7" s="12"/>
      <c r="AB7" s="13">
        <f t="shared" si="5"/>
        <v>9.1961810527448409E-2</v>
      </c>
      <c r="AC7" s="13"/>
      <c r="AD7" s="11" t="str">
        <f t="shared" si="18"/>
        <v>less strong.[jj*] [i*]</v>
      </c>
      <c r="AE7" s="12">
        <v>17</v>
      </c>
      <c r="AF7" s="12"/>
      <c r="AG7" s="13">
        <f t="shared" si="6"/>
        <v>0.11389937879824347</v>
      </c>
      <c r="AH7" s="13"/>
      <c r="AI7" s="11" t="str">
        <f t="shared" si="19"/>
        <v>strong.[jj*] enough</v>
      </c>
      <c r="AJ7" s="12">
        <v>5548</v>
      </c>
      <c r="AK7" s="12"/>
      <c r="AL7" s="13">
        <f t="shared" si="7"/>
        <v>0.37487537809954791</v>
      </c>
      <c r="AM7" s="13"/>
      <c r="AN7" s="11" t="str">
        <f t="shared" si="20"/>
        <v>that.[r*] strong.[jj*] PUNC</v>
      </c>
      <c r="AO7" s="12">
        <v>131</v>
      </c>
      <c r="AP7" s="12">
        <v>1</v>
      </c>
      <c r="AQ7" s="13">
        <f t="shared" si="8"/>
        <v>0.24140410082658345</v>
      </c>
      <c r="AR7" s="13"/>
      <c r="AS7" s="11" t="str">
        <f t="shared" si="21"/>
        <v>that.[r*] strong.[jj*] [i*]</v>
      </c>
      <c r="AT7" s="12">
        <v>5</v>
      </c>
      <c r="AU7" s="12"/>
      <c r="AV7" s="13">
        <f t="shared" si="9"/>
        <v>0.10015171098065269</v>
      </c>
      <c r="AW7" s="13"/>
      <c r="AX7" s="11" t="str">
        <f t="shared" si="22"/>
        <v>-a little strong.[jj*] PUNC</v>
      </c>
      <c r="AY7" s="12">
        <v>0</v>
      </c>
      <c r="AZ7" s="12">
        <v>1</v>
      </c>
      <c r="BA7" s="13">
        <f t="shared" si="10"/>
        <v>-1</v>
      </c>
      <c r="BB7" s="13"/>
      <c r="BC7" s="11" t="str">
        <f t="shared" si="23"/>
        <v>-a little.[r*] strong.[jj*] [i*]</v>
      </c>
      <c r="BD7" s="12">
        <v>0</v>
      </c>
      <c r="BE7" s="12"/>
      <c r="BF7" s="13">
        <f t="shared" si="11"/>
        <v>-1</v>
      </c>
      <c r="BG7" s="13"/>
      <c r="BH7" s="11" t="str">
        <f t="shared" si="24"/>
        <v>no strong.[jj*] PUNC</v>
      </c>
      <c r="BI7" s="12">
        <v>0</v>
      </c>
      <c r="BJ7" s="12">
        <v>11</v>
      </c>
      <c r="BK7" s="13">
        <f t="shared" si="12"/>
        <v>-1</v>
      </c>
      <c r="BL7" s="13"/>
      <c r="BM7" s="11" t="str">
        <f t="shared" si="25"/>
        <v>no strong.[jj*] [i*]</v>
      </c>
      <c r="BN7" s="12">
        <v>0</v>
      </c>
      <c r="BO7" s="12"/>
      <c r="BP7" s="13">
        <f t="shared" si="13"/>
        <v>-1</v>
      </c>
      <c r="BQ7" s="13"/>
      <c r="BR7" s="11" t="str">
        <f t="shared" si="26"/>
        <v>any strong.[jj*] PUNC</v>
      </c>
      <c r="BS7" s="12">
        <v>0</v>
      </c>
      <c r="BT7" s="12">
        <v>4</v>
      </c>
      <c r="BU7" s="13">
        <f t="shared" si="14"/>
        <v>-1</v>
      </c>
      <c r="BV7" s="13"/>
      <c r="BW7" s="11" t="str">
        <f t="shared" si="27"/>
        <v>any strong.[jj*] [i*]</v>
      </c>
      <c r="BX7" s="12">
        <v>0</v>
      </c>
      <c r="BY7" s="12"/>
      <c r="BZ7" s="13">
        <f t="shared" si="15"/>
        <v>-1</v>
      </c>
      <c r="CA7" s="13"/>
    </row>
    <row r="8" spans="1:79" x14ac:dyDescent="0.2">
      <c r="A8" s="11" t="s">
        <v>9</v>
      </c>
      <c r="B8" s="12">
        <v>382892</v>
      </c>
      <c r="C8" s="12">
        <v>39458</v>
      </c>
      <c r="D8" s="12">
        <v>24046</v>
      </c>
      <c r="E8" s="11" t="s">
        <v>215</v>
      </c>
      <c r="F8" s="12">
        <v>0</v>
      </c>
      <c r="G8" s="12"/>
      <c r="H8" s="13">
        <f t="shared" si="0"/>
        <v>-1</v>
      </c>
      <c r="I8" s="1"/>
      <c r="J8" s="13" t="str">
        <f t="shared" si="16"/>
        <v>-very much high.[jj*] [i*]</v>
      </c>
      <c r="K8" s="12">
        <v>0</v>
      </c>
      <c r="L8" s="12"/>
      <c r="M8" s="13">
        <f t="shared" si="1"/>
        <v>-1</v>
      </c>
      <c r="N8" s="1"/>
      <c r="O8" s="13" t="str">
        <f t="shared" si="17"/>
        <v>more high.[jj*] PUNC</v>
      </c>
      <c r="P8" s="12">
        <v>3</v>
      </c>
      <c r="Q8" s="12">
        <v>5</v>
      </c>
      <c r="R8" s="13">
        <f t="shared" si="2"/>
        <v>-0.17328467198292674</v>
      </c>
      <c r="S8" s="1"/>
      <c r="T8" s="13" t="str">
        <f t="shared" si="28"/>
        <v>more high.[jj*] [i*]</v>
      </c>
      <c r="U8" s="12">
        <v>0</v>
      </c>
      <c r="V8" s="12">
        <v>2</v>
      </c>
      <c r="W8" s="13">
        <f t="shared" si="3"/>
        <v>-1</v>
      </c>
      <c r="X8" s="1"/>
      <c r="Y8" s="11" t="str">
        <f t="shared" si="4"/>
        <v>less high.[jj*] PUNC</v>
      </c>
      <c r="Z8" s="12">
        <v>2</v>
      </c>
      <c r="AA8" s="12"/>
      <c r="AB8" s="13">
        <f t="shared" si="5"/>
        <v>-9.4766328969710975E-2</v>
      </c>
      <c r="AC8" s="1"/>
      <c r="AD8" s="11" t="str">
        <f t="shared" si="18"/>
        <v>less high.[jj*] [i*]</v>
      </c>
      <c r="AE8" s="12">
        <v>4</v>
      </c>
      <c r="AF8" s="12"/>
      <c r="AG8" s="13">
        <f t="shared" si="6"/>
        <v>-3.6713763445904581E-2</v>
      </c>
      <c r="AH8" s="1"/>
      <c r="AI8" s="11" t="str">
        <f t="shared" si="19"/>
        <v>high.[jj*] enough</v>
      </c>
      <c r="AJ8" s="12">
        <v>883</v>
      </c>
      <c r="AK8" s="12"/>
      <c r="AL8" s="13">
        <f t="shared" si="7"/>
        <v>0.12649649628395318</v>
      </c>
      <c r="AM8" s="1"/>
      <c r="AN8" s="11" t="str">
        <f t="shared" si="20"/>
        <v>that.[r*] high.[jj*] PUNC</v>
      </c>
      <c r="AO8" s="12">
        <v>408</v>
      </c>
      <c r="AP8" s="12"/>
      <c r="AQ8" s="13">
        <f t="shared" si="8"/>
        <v>0.30717320727049086</v>
      </c>
      <c r="AR8" s="1"/>
      <c r="AS8" s="11" t="str">
        <f t="shared" si="21"/>
        <v>that.[r*] high.[jj*] [i*]</v>
      </c>
      <c r="AT8" s="12">
        <v>13</v>
      </c>
      <c r="AU8" s="12"/>
      <c r="AV8" s="13">
        <f t="shared" si="9"/>
        <v>8.6391226710138116E-2</v>
      </c>
      <c r="AW8" s="1"/>
      <c r="AX8" s="11" t="str">
        <f t="shared" si="22"/>
        <v>-a little high.[jj*] PUNC</v>
      </c>
      <c r="AY8" s="12">
        <v>0</v>
      </c>
      <c r="AZ8" s="12">
        <v>9</v>
      </c>
      <c r="BA8" s="13">
        <f t="shared" si="10"/>
        <v>-1</v>
      </c>
      <c r="BB8" s="1"/>
      <c r="BC8" s="11" t="str">
        <f t="shared" si="23"/>
        <v>-a little.[r*] high.[jj*] [i*]</v>
      </c>
      <c r="BD8" s="12">
        <v>0</v>
      </c>
      <c r="BE8" s="12"/>
      <c r="BF8" s="13">
        <f t="shared" si="11"/>
        <v>-1</v>
      </c>
      <c r="BG8" s="1"/>
      <c r="BH8" s="11" t="str">
        <f t="shared" si="24"/>
        <v>no high.[jj*] PUNC</v>
      </c>
      <c r="BI8" s="12">
        <v>0</v>
      </c>
      <c r="BJ8" s="12">
        <v>5</v>
      </c>
      <c r="BK8" s="13">
        <f t="shared" si="12"/>
        <v>-1</v>
      </c>
      <c r="BL8" s="1"/>
      <c r="BM8" s="11" t="str">
        <f t="shared" si="25"/>
        <v>no high.[jj*] [i*]</v>
      </c>
      <c r="BN8" s="12">
        <v>0</v>
      </c>
      <c r="BO8" s="12">
        <v>3</v>
      </c>
      <c r="BP8" s="13">
        <f t="shared" si="13"/>
        <v>-1</v>
      </c>
      <c r="BQ8" s="1"/>
      <c r="BR8" s="11" t="str">
        <f t="shared" si="26"/>
        <v>any high.[jj*] PUNC</v>
      </c>
      <c r="BS8" s="12">
        <v>0</v>
      </c>
      <c r="BT8" s="12">
        <v>3</v>
      </c>
      <c r="BU8" s="13">
        <f t="shared" si="14"/>
        <v>-1</v>
      </c>
      <c r="BV8" s="1"/>
      <c r="BW8" s="11" t="str">
        <f t="shared" si="27"/>
        <v>any high.[jj*] [i*]</v>
      </c>
      <c r="BX8" s="12">
        <v>0</v>
      </c>
      <c r="BY8" s="12"/>
      <c r="BZ8" s="13">
        <f t="shared" si="15"/>
        <v>-1</v>
      </c>
      <c r="CA8" s="1"/>
    </row>
    <row r="9" spans="1:79" x14ac:dyDescent="0.2">
      <c r="A9" s="11" t="s">
        <v>21</v>
      </c>
      <c r="B9" s="12">
        <v>64075</v>
      </c>
      <c r="C9" s="12">
        <v>18974</v>
      </c>
      <c r="D9" s="12">
        <v>4917</v>
      </c>
      <c r="E9" s="11" t="s">
        <v>216</v>
      </c>
      <c r="F9" s="12">
        <v>0</v>
      </c>
      <c r="G9" s="12"/>
      <c r="H9" s="13">
        <f t="shared" si="0"/>
        <v>-1</v>
      </c>
      <c r="I9" s="1">
        <f>AVERAGE(H9:H15)</f>
        <v>-1</v>
      </c>
      <c r="J9" s="13" t="str">
        <f t="shared" si="16"/>
        <v>-very much dangerous.[jj*] [i*]</v>
      </c>
      <c r="K9" s="12">
        <v>0</v>
      </c>
      <c r="L9" s="12"/>
      <c r="M9" s="13">
        <f t="shared" si="1"/>
        <v>-1</v>
      </c>
      <c r="N9" s="1">
        <f>AVERAGE(M9:M15)</f>
        <v>-0.86275404009760859</v>
      </c>
      <c r="O9" s="13" t="str">
        <f t="shared" si="17"/>
        <v>more dangerous.[jj*] PUNC</v>
      </c>
      <c r="P9" s="12">
        <v>924</v>
      </c>
      <c r="Q9" s="12"/>
      <c r="R9" s="13">
        <f t="shared" si="2"/>
        <v>0.22026469903625184</v>
      </c>
      <c r="S9" s="1">
        <f>AVERAGE(R9:R15)</f>
        <v>0.20526830297638229</v>
      </c>
      <c r="T9" s="13" t="str">
        <f t="shared" si="28"/>
        <v>more dangerous.[jj*] [i*]</v>
      </c>
      <c r="U9" s="12">
        <v>418</v>
      </c>
      <c r="V9" s="12"/>
      <c r="W9" s="13">
        <f t="shared" si="3"/>
        <v>0.2462961656517281</v>
      </c>
      <c r="X9" s="1">
        <f>AVERAGE(W9:W15)</f>
        <v>0.2240422807666877</v>
      </c>
      <c r="Y9" s="11" t="str">
        <f t="shared" si="4"/>
        <v>less dangerous.[jj*] PUNC</v>
      </c>
      <c r="Z9" s="12">
        <v>146</v>
      </c>
      <c r="AA9" s="12"/>
      <c r="AB9" s="13">
        <f t="shared" si="5"/>
        <v>0.19845408758294505</v>
      </c>
      <c r="AC9" s="1">
        <f>AVERAGE(AB9:AB15)</f>
        <v>0.25418402810266194</v>
      </c>
      <c r="AD9" s="11" t="str">
        <f t="shared" si="18"/>
        <v>less dangerous.[jj*] [i*]</v>
      </c>
      <c r="AE9" s="12">
        <v>54</v>
      </c>
      <c r="AF9" s="12"/>
      <c r="AG9" s="13">
        <f t="shared" si="6"/>
        <v>0.20791575682419119</v>
      </c>
      <c r="AH9" s="1">
        <f>AVERAGE(AG9:AG15)</f>
        <v>0.24137236143846572</v>
      </c>
      <c r="AI9" s="11" t="str">
        <f t="shared" si="19"/>
        <v>dangerous.[jj*] enough</v>
      </c>
      <c r="AJ9" s="12">
        <v>103</v>
      </c>
      <c r="AK9" s="12"/>
      <c r="AL9" s="13">
        <f t="shared" si="7"/>
        <v>8.7178193947587274E-2</v>
      </c>
      <c r="AM9" s="1">
        <f>AVERAGE(AL9:AL15)</f>
        <v>0.19681378991339318</v>
      </c>
      <c r="AN9" s="11" t="str">
        <f t="shared" si="20"/>
        <v>that.[r*] dangerous.[jj*] PUNC</v>
      </c>
      <c r="AO9" s="12">
        <v>98</v>
      </c>
      <c r="AP9" s="12"/>
      <c r="AQ9" s="13">
        <f t="shared" si="8"/>
        <v>0.23702633591585101</v>
      </c>
      <c r="AR9" s="1">
        <f>AVERAGE(AQ9:AQ15)</f>
        <v>0.20903767342575691</v>
      </c>
      <c r="AS9" s="11" t="str">
        <f t="shared" si="21"/>
        <v>that.[r*] dangerous.[jj*] [i*]</v>
      </c>
      <c r="AT9" s="12">
        <v>0</v>
      </c>
      <c r="AU9" s="12"/>
      <c r="AV9" s="13">
        <f t="shared" si="9"/>
        <v>-1</v>
      </c>
      <c r="AW9" s="1">
        <f>AVERAGE(AV9:AV15)</f>
        <v>-0.69261550485003132</v>
      </c>
      <c r="AX9" s="11" t="str">
        <f t="shared" si="22"/>
        <v>-a little dangerous.[jj*] PUNC</v>
      </c>
      <c r="AY9" s="12">
        <v>0</v>
      </c>
      <c r="AZ9" s="12">
        <v>2</v>
      </c>
      <c r="BA9" s="13">
        <f t="shared" si="10"/>
        <v>-1</v>
      </c>
      <c r="BB9" s="1">
        <f>AVERAGE(BA9:BA15)</f>
        <v>-1</v>
      </c>
      <c r="BC9" s="11" t="str">
        <f t="shared" si="23"/>
        <v>-a little.[r*] dangerous.[jj*] [i*]</v>
      </c>
      <c r="BD9" s="12">
        <v>0</v>
      </c>
      <c r="BE9" s="12"/>
      <c r="BF9" s="13">
        <f t="shared" si="11"/>
        <v>-1</v>
      </c>
      <c r="BG9" s="1">
        <f>AVERAGE(BF9:BF15)</f>
        <v>-1</v>
      </c>
      <c r="BH9" s="11" t="str">
        <f t="shared" si="24"/>
        <v>no dangerous.[jj*] PUNC</v>
      </c>
      <c r="BI9" s="12">
        <v>0</v>
      </c>
      <c r="BJ9" s="12">
        <v>1</v>
      </c>
      <c r="BK9" s="13">
        <f t="shared" si="12"/>
        <v>-1</v>
      </c>
      <c r="BL9" s="1">
        <f>AVERAGE(BK9:BK15)</f>
        <v>-1</v>
      </c>
      <c r="BM9" s="11" t="str">
        <f t="shared" si="25"/>
        <v>no dangerous.[jj*] [i*]</v>
      </c>
      <c r="BN9" s="12">
        <v>0</v>
      </c>
      <c r="BO9" s="12"/>
      <c r="BP9" s="13">
        <f t="shared" si="13"/>
        <v>-1</v>
      </c>
      <c r="BQ9" s="1">
        <f>AVERAGE(BP9:BP15)</f>
        <v>-1</v>
      </c>
      <c r="BR9" s="11" t="str">
        <f t="shared" si="26"/>
        <v>any dangerous.[jj*] PUNC</v>
      </c>
      <c r="BS9" s="12">
        <v>0</v>
      </c>
      <c r="BT9" s="12">
        <v>2</v>
      </c>
      <c r="BU9" s="13">
        <f t="shared" si="14"/>
        <v>-1</v>
      </c>
      <c r="BV9" s="1">
        <f>AVERAGE(BU9:BU15)</f>
        <v>-1</v>
      </c>
      <c r="BW9" s="11" t="str">
        <f t="shared" si="27"/>
        <v>any dangerous.[jj*] [i*]</v>
      </c>
      <c r="BX9" s="12">
        <v>0</v>
      </c>
      <c r="BY9" s="12"/>
      <c r="BZ9" s="13">
        <f t="shared" si="15"/>
        <v>-1</v>
      </c>
      <c r="CA9" s="1">
        <f>AVERAGE(BZ9:BZ15)</f>
        <v>-1</v>
      </c>
    </row>
    <row r="10" spans="1:79" x14ac:dyDescent="0.2">
      <c r="A10" s="11" t="s">
        <v>18</v>
      </c>
      <c r="B10" s="12">
        <v>10692</v>
      </c>
      <c r="C10" s="12">
        <v>2091</v>
      </c>
      <c r="D10" s="12">
        <v>743</v>
      </c>
      <c r="E10" s="11" t="s">
        <v>217</v>
      </c>
      <c r="F10" s="12">
        <v>0</v>
      </c>
      <c r="G10" s="12"/>
      <c r="H10" s="13">
        <f t="shared" si="0"/>
        <v>-1</v>
      </c>
      <c r="I10" s="13"/>
      <c r="J10" s="13" t="str">
        <f t="shared" si="16"/>
        <v>-very much fortunate.[jj*] [i*]</v>
      </c>
      <c r="K10" s="12">
        <v>0</v>
      </c>
      <c r="L10" s="12"/>
      <c r="M10" s="13">
        <f t="shared" si="1"/>
        <v>-1</v>
      </c>
      <c r="N10" s="13"/>
      <c r="O10" s="13" t="str">
        <f t="shared" si="17"/>
        <v>more fortunate.[jj*] PUNC</v>
      </c>
      <c r="P10" s="12">
        <v>50</v>
      </c>
      <c r="Q10" s="12"/>
      <c r="R10" s="13">
        <f t="shared" si="2"/>
        <v>0.13975469748449326</v>
      </c>
      <c r="S10" s="13"/>
      <c r="T10" s="13" t="str">
        <f t="shared" si="28"/>
        <v>more fortunate.[jj*] [i*]</v>
      </c>
      <c r="U10" s="12">
        <v>14</v>
      </c>
      <c r="V10" s="12"/>
      <c r="W10" s="13">
        <f t="shared" si="3"/>
        <v>0.11674564186339068</v>
      </c>
      <c r="X10" s="13"/>
      <c r="Y10" s="11" t="str">
        <f t="shared" si="4"/>
        <v>less fortunate.[jj*] PUNC</v>
      </c>
      <c r="Z10" s="12">
        <v>566</v>
      </c>
      <c r="AA10" s="12"/>
      <c r="AB10" s="13">
        <f t="shared" si="5"/>
        <v>0.46460888818224466</v>
      </c>
      <c r="AC10" s="13"/>
      <c r="AD10" s="11" t="str">
        <f t="shared" si="18"/>
        <v>less fortunate.[jj*] [i*]</v>
      </c>
      <c r="AE10" s="12">
        <v>91</v>
      </c>
      <c r="AF10" s="12"/>
      <c r="AG10" s="13">
        <f t="shared" si="6"/>
        <v>0.36333321256610768</v>
      </c>
      <c r="AH10" s="13"/>
      <c r="AI10" s="11" t="str">
        <f t="shared" si="19"/>
        <v>fortunate.[jj*] enough</v>
      </c>
      <c r="AJ10" s="12">
        <v>1383</v>
      </c>
      <c r="AK10" s="12"/>
      <c r="AL10" s="13">
        <f t="shared" si="7"/>
        <v>0.42912408606881297</v>
      </c>
      <c r="AM10" s="13"/>
      <c r="AN10" s="11" t="str">
        <f t="shared" si="20"/>
        <v>that.[r*] fortunate.[jj*] PUNC</v>
      </c>
      <c r="AO10" s="12">
        <v>11</v>
      </c>
      <c r="AP10" s="12"/>
      <c r="AQ10" s="13">
        <f t="shared" si="8"/>
        <v>0.20974394131299579</v>
      </c>
      <c r="AR10" s="13"/>
      <c r="AS10" s="11" t="str">
        <f t="shared" si="21"/>
        <v>that.[r*] fortunate.[jj*] [i*]</v>
      </c>
      <c r="AT10" s="12">
        <v>0</v>
      </c>
      <c r="AU10" s="12"/>
      <c r="AV10" s="13">
        <f t="shared" si="9"/>
        <v>-1</v>
      </c>
      <c r="AW10" s="13"/>
      <c r="AX10" s="11" t="str">
        <f t="shared" si="22"/>
        <v>-a little fortunate.[jj*] PUNC</v>
      </c>
      <c r="AY10" s="12">
        <v>0</v>
      </c>
      <c r="AZ10" s="12"/>
      <c r="BA10" s="13">
        <f t="shared" si="10"/>
        <v>-1</v>
      </c>
      <c r="BB10" s="13"/>
      <c r="BC10" s="11" t="str">
        <f t="shared" si="23"/>
        <v>-a little.[r*] fortunate.[jj*] [i*]</v>
      </c>
      <c r="BD10" s="12">
        <v>0</v>
      </c>
      <c r="BE10" s="12"/>
      <c r="BF10" s="13">
        <f t="shared" si="11"/>
        <v>-1</v>
      </c>
      <c r="BG10" s="13"/>
      <c r="BH10" s="11" t="str">
        <f t="shared" si="24"/>
        <v>no fortunate.[jj*] PUNC</v>
      </c>
      <c r="BI10" s="12">
        <v>0</v>
      </c>
      <c r="BJ10" s="12"/>
      <c r="BK10" s="13">
        <f t="shared" si="12"/>
        <v>-1</v>
      </c>
      <c r="BL10" s="13"/>
      <c r="BM10" s="11" t="str">
        <f t="shared" si="25"/>
        <v>no fortunate.[jj*] [i*]</v>
      </c>
      <c r="BN10" s="12">
        <v>0</v>
      </c>
      <c r="BO10" s="12"/>
      <c r="BP10" s="13">
        <f t="shared" si="13"/>
        <v>-1</v>
      </c>
      <c r="BQ10" s="13"/>
      <c r="BR10" s="11" t="str">
        <f t="shared" si="26"/>
        <v>any fortunate.[jj*] PUNC</v>
      </c>
      <c r="BS10" s="12">
        <v>0</v>
      </c>
      <c r="BT10" s="12"/>
      <c r="BU10" s="13">
        <f t="shared" si="14"/>
        <v>-1</v>
      </c>
      <c r="BV10" s="13"/>
      <c r="BW10" s="11" t="str">
        <f t="shared" si="27"/>
        <v>any fortunate.[jj*] [i*]</v>
      </c>
      <c r="BX10" s="12">
        <v>0</v>
      </c>
      <c r="BY10" s="12"/>
      <c r="BZ10" s="13">
        <f t="shared" si="15"/>
        <v>-1</v>
      </c>
      <c r="CA10" s="13"/>
    </row>
    <row r="11" spans="1:79" x14ac:dyDescent="0.2">
      <c r="A11" s="11" t="s">
        <v>19</v>
      </c>
      <c r="B11" s="12">
        <v>16095</v>
      </c>
      <c r="C11" s="12">
        <v>3129</v>
      </c>
      <c r="D11" s="12">
        <v>2051</v>
      </c>
      <c r="E11" s="11" t="s">
        <v>218</v>
      </c>
      <c r="F11" s="12">
        <v>0</v>
      </c>
      <c r="G11" s="12"/>
      <c r="H11" s="13">
        <f t="shared" si="0"/>
        <v>-1</v>
      </c>
      <c r="I11" s="13"/>
      <c r="J11" s="13" t="str">
        <f t="shared" si="16"/>
        <v>-very much generous.[jj*] [i*]</v>
      </c>
      <c r="K11" s="12">
        <v>0</v>
      </c>
      <c r="L11" s="12"/>
      <c r="M11" s="13">
        <f t="shared" si="1"/>
        <v>-1</v>
      </c>
      <c r="N11" s="13"/>
      <c r="O11" s="13" t="str">
        <f t="shared" si="17"/>
        <v>more generous.[jj*] PUNC</v>
      </c>
      <c r="P11" s="12">
        <v>139</v>
      </c>
      <c r="Q11" s="12"/>
      <c r="R11" s="13">
        <f t="shared" si="2"/>
        <v>0.18802519971673104</v>
      </c>
      <c r="S11" s="13"/>
      <c r="T11" s="13" t="str">
        <f t="shared" si="28"/>
        <v>more generous.[jj*] [i*]</v>
      </c>
      <c r="U11" s="12">
        <v>142</v>
      </c>
      <c r="V11" s="12"/>
      <c r="W11" s="13">
        <f t="shared" si="3"/>
        <v>0.21641738906983257</v>
      </c>
      <c r="X11" s="13"/>
      <c r="Y11" s="11" t="str">
        <f t="shared" si="4"/>
        <v>less generous.[jj*] PUNC</v>
      </c>
      <c r="Z11" s="12">
        <v>44</v>
      </c>
      <c r="AA11" s="12"/>
      <c r="AB11" s="13">
        <f t="shared" si="5"/>
        <v>0.21999291343320859</v>
      </c>
      <c r="AC11" s="13"/>
      <c r="AD11" s="11" t="str">
        <f t="shared" si="18"/>
        <v>less generous.[jj*] [i*]</v>
      </c>
      <c r="AE11" s="12">
        <v>26</v>
      </c>
      <c r="AF11" s="12"/>
      <c r="AG11" s="13">
        <f t="shared" si="6"/>
        <v>0.20743033192996099</v>
      </c>
      <c r="AH11" s="13"/>
      <c r="AI11" s="11" t="str">
        <f t="shared" si="19"/>
        <v>generous.[jj*] enough</v>
      </c>
      <c r="AJ11" s="12">
        <v>134</v>
      </c>
      <c r="AK11" s="12"/>
      <c r="AL11" s="13">
        <f t="shared" si="7"/>
        <v>0.19253333126365305</v>
      </c>
      <c r="AM11" s="13"/>
      <c r="AN11" s="11" t="str">
        <f t="shared" si="20"/>
        <v>that.[r*] generous.[jj*] PUNC</v>
      </c>
      <c r="AO11" s="12">
        <v>20</v>
      </c>
      <c r="AP11" s="12"/>
      <c r="AQ11" s="13">
        <f t="shared" si="8"/>
        <v>0.22780096763632193</v>
      </c>
      <c r="AR11" s="13"/>
      <c r="AS11" s="11" t="str">
        <f t="shared" si="21"/>
        <v>that.[r*] generous.[jj*] [i*]</v>
      </c>
      <c r="AT11" s="12">
        <v>2</v>
      </c>
      <c r="AU11" s="12"/>
      <c r="AV11" s="13">
        <f t="shared" si="9"/>
        <v>0.10776254551708486</v>
      </c>
      <c r="AW11" s="13"/>
      <c r="AX11" s="11" t="str">
        <f t="shared" si="22"/>
        <v>-a little generous.[jj*] PUNC</v>
      </c>
      <c r="AY11" s="12">
        <v>0</v>
      </c>
      <c r="AZ11" s="12"/>
      <c r="BA11" s="13">
        <f t="shared" si="10"/>
        <v>-1</v>
      </c>
      <c r="BB11" s="13"/>
      <c r="BC11" s="11" t="str">
        <f t="shared" si="23"/>
        <v>-a little.[r*] generous.[jj*] [i*]</v>
      </c>
      <c r="BD11" s="12">
        <v>0</v>
      </c>
      <c r="BE11" s="12"/>
      <c r="BF11" s="13">
        <f t="shared" si="11"/>
        <v>-1</v>
      </c>
      <c r="BG11" s="13"/>
      <c r="BH11" s="11" t="str">
        <f t="shared" si="24"/>
        <v>no generous.[jj*] PUNC</v>
      </c>
      <c r="BI11" s="12">
        <v>0</v>
      </c>
      <c r="BJ11" s="12"/>
      <c r="BK11" s="13">
        <f t="shared" si="12"/>
        <v>-1</v>
      </c>
      <c r="BL11" s="13"/>
      <c r="BM11" s="11" t="str">
        <f t="shared" si="25"/>
        <v>no generous.[jj*] [i*]</v>
      </c>
      <c r="BN11" s="12">
        <v>0</v>
      </c>
      <c r="BO11" s="12"/>
      <c r="BP11" s="13">
        <f t="shared" si="13"/>
        <v>-1</v>
      </c>
      <c r="BQ11" s="13"/>
      <c r="BR11" s="11" t="str">
        <f t="shared" si="26"/>
        <v>any generous.[jj*] PUNC</v>
      </c>
      <c r="BS11" s="12">
        <v>0</v>
      </c>
      <c r="BT11" s="12">
        <v>1</v>
      </c>
      <c r="BU11" s="13">
        <f t="shared" si="14"/>
        <v>-1</v>
      </c>
      <c r="BV11" s="13"/>
      <c r="BW11" s="11" t="str">
        <f t="shared" si="27"/>
        <v>any generous.[jj*] [i*]</v>
      </c>
      <c r="BX11" s="12">
        <v>0</v>
      </c>
      <c r="BY11" s="12"/>
      <c r="BZ11" s="13">
        <f t="shared" si="15"/>
        <v>-1</v>
      </c>
      <c r="CA11" s="13"/>
    </row>
    <row r="12" spans="1:79" x14ac:dyDescent="0.2">
      <c r="A12" s="11" t="s">
        <v>22</v>
      </c>
      <c r="B12" s="12">
        <v>11259</v>
      </c>
      <c r="C12" s="12">
        <v>4092</v>
      </c>
      <c r="D12" s="12">
        <v>1045</v>
      </c>
      <c r="E12" s="11" t="s">
        <v>219</v>
      </c>
      <c r="F12" s="12">
        <v>0</v>
      </c>
      <c r="G12" s="12"/>
      <c r="H12" s="13">
        <f t="shared" si="0"/>
        <v>-1</v>
      </c>
      <c r="I12" s="13"/>
      <c r="J12" s="13" t="str">
        <f t="shared" si="16"/>
        <v>-very much embarrassing.[jj*] [i*]</v>
      </c>
      <c r="K12" s="12">
        <v>0</v>
      </c>
      <c r="L12" s="12"/>
      <c r="M12" s="13">
        <f t="shared" si="1"/>
        <v>-1</v>
      </c>
      <c r="N12" s="13"/>
      <c r="O12" s="13" t="str">
        <f t="shared" si="17"/>
        <v>more embarrassing.[jj*] PUNC</v>
      </c>
      <c r="P12" s="12">
        <v>47</v>
      </c>
      <c r="Q12" s="12"/>
      <c r="R12" s="13">
        <f t="shared" si="2"/>
        <v>9.5792026136582054E-2</v>
      </c>
      <c r="S12" s="13"/>
      <c r="T12" s="13" t="str">
        <f t="shared" si="28"/>
        <v>more embarrassing.[jj*] [i*]</v>
      </c>
      <c r="U12" s="12">
        <v>31</v>
      </c>
      <c r="V12" s="12"/>
      <c r="W12" s="13">
        <f t="shared" si="3"/>
        <v>0.14835870930473846</v>
      </c>
      <c r="X12" s="13"/>
      <c r="Y12" s="11" t="str">
        <f t="shared" si="4"/>
        <v>less embarrassing.[jj*] PUNC</v>
      </c>
      <c r="Z12" s="12">
        <v>26</v>
      </c>
      <c r="AA12" s="12"/>
      <c r="AB12" s="13">
        <f t="shared" si="5"/>
        <v>0.16788921681885355</v>
      </c>
      <c r="AC12" s="13"/>
      <c r="AD12" s="11" t="str">
        <f t="shared" si="18"/>
        <v>less embarrassing.[jj*] [i*]</v>
      </c>
      <c r="AE12" s="12">
        <v>6</v>
      </c>
      <c r="AF12" s="12"/>
      <c r="AG12" s="13">
        <f t="shared" si="6"/>
        <v>0.14953624889520464</v>
      </c>
      <c r="AH12" s="13"/>
      <c r="AI12" s="11" t="str">
        <f t="shared" si="19"/>
        <v>embarrassing.[jj*] enough</v>
      </c>
      <c r="AJ12" s="12">
        <v>37</v>
      </c>
      <c r="AK12" s="12"/>
      <c r="AL12" s="13">
        <f t="shared" si="7"/>
        <v>0.12374336186824834</v>
      </c>
      <c r="AM12" s="13"/>
      <c r="AN12" s="11" t="str">
        <f t="shared" si="20"/>
        <v>that.[r*] embarrassing.[jj*] PUNC</v>
      </c>
      <c r="AO12" s="12">
        <v>8</v>
      </c>
      <c r="AP12" s="12">
        <v>1</v>
      </c>
      <c r="AQ12" s="13">
        <f t="shared" si="8"/>
        <v>0.15307770334708773</v>
      </c>
      <c r="AR12" s="13"/>
      <c r="AS12" s="11" t="str">
        <f t="shared" si="21"/>
        <v>that.[r*] embarrassing.[jj*] [i*]</v>
      </c>
      <c r="AT12" s="12">
        <v>0</v>
      </c>
      <c r="AU12" s="12"/>
      <c r="AV12" s="13">
        <f t="shared" si="9"/>
        <v>-1</v>
      </c>
      <c r="AW12" s="13"/>
      <c r="AX12" s="11" t="str">
        <f t="shared" si="22"/>
        <v>-a little embarrassing.[jj*] PUNC</v>
      </c>
      <c r="AY12" s="12">
        <v>0</v>
      </c>
      <c r="AZ12" s="12"/>
      <c r="BA12" s="13">
        <f t="shared" si="10"/>
        <v>-1</v>
      </c>
      <c r="BB12" s="13"/>
      <c r="BC12" s="11" t="str">
        <f t="shared" si="23"/>
        <v>-a little.[r*] embarrassing.[jj*] [i*]</v>
      </c>
      <c r="BD12" s="12">
        <v>0</v>
      </c>
      <c r="BE12" s="12">
        <v>1</v>
      </c>
      <c r="BF12" s="13">
        <f t="shared" si="11"/>
        <v>-1</v>
      </c>
      <c r="BG12" s="13"/>
      <c r="BH12" s="11" t="str">
        <f t="shared" si="24"/>
        <v>no embarrassing.[jj*] PUNC</v>
      </c>
      <c r="BI12" s="12">
        <v>0</v>
      </c>
      <c r="BJ12" s="12"/>
      <c r="BK12" s="13">
        <f t="shared" si="12"/>
        <v>-1</v>
      </c>
      <c r="BL12" s="13"/>
      <c r="BM12" s="11" t="str">
        <f t="shared" si="25"/>
        <v>no embarrassing.[jj*] [i*]</v>
      </c>
      <c r="BN12" s="12">
        <v>0</v>
      </c>
      <c r="BO12" s="12"/>
      <c r="BP12" s="13">
        <f t="shared" si="13"/>
        <v>-1</v>
      </c>
      <c r="BQ12" s="13"/>
      <c r="BR12" s="11" t="str">
        <f t="shared" si="26"/>
        <v>any embarrassing.[jj*] PUNC</v>
      </c>
      <c r="BS12" s="12">
        <v>0</v>
      </c>
      <c r="BT12" s="12"/>
      <c r="BU12" s="13">
        <f t="shared" si="14"/>
        <v>-1</v>
      </c>
      <c r="BV12" s="13"/>
      <c r="BW12" s="11" t="str">
        <f t="shared" si="27"/>
        <v>any embarrassing.[jj*] [i*]</v>
      </c>
      <c r="BX12" s="12">
        <v>0</v>
      </c>
      <c r="BY12" s="12"/>
      <c r="BZ12" s="13">
        <f t="shared" si="15"/>
        <v>-1</v>
      </c>
      <c r="CA12" s="13"/>
    </row>
    <row r="13" spans="1:79" x14ac:dyDescent="0.2">
      <c r="A13" s="11" t="s">
        <v>17</v>
      </c>
      <c r="B13" s="12">
        <v>20703</v>
      </c>
      <c r="C13" s="12">
        <v>5093</v>
      </c>
      <c r="D13" s="12">
        <v>340</v>
      </c>
      <c r="E13" s="11" t="s">
        <v>220</v>
      </c>
      <c r="F13" s="12">
        <v>0</v>
      </c>
      <c r="G13" s="12"/>
      <c r="H13" s="13">
        <f t="shared" si="0"/>
        <v>-1</v>
      </c>
      <c r="I13" s="13"/>
      <c r="J13" s="13" t="str">
        <f t="shared" si="16"/>
        <v>-very much intelligent.[jj*] [i*]</v>
      </c>
      <c r="K13" s="12">
        <v>0</v>
      </c>
      <c r="L13" s="12"/>
      <c r="M13" s="13">
        <f t="shared" si="1"/>
        <v>-1</v>
      </c>
      <c r="N13" s="13"/>
      <c r="O13" s="13" t="str">
        <f t="shared" si="17"/>
        <v>more intelligent.[jj*] PUNC</v>
      </c>
      <c r="P13" s="12">
        <v>220</v>
      </c>
      <c r="Q13" s="12"/>
      <c r="R13" s="13">
        <f t="shared" si="2"/>
        <v>0.1918296927212417</v>
      </c>
      <c r="S13" s="13"/>
      <c r="T13" s="13" t="str">
        <f t="shared" si="28"/>
        <v>more intelligent.[jj*] [i*]</v>
      </c>
      <c r="U13" s="12">
        <v>34</v>
      </c>
      <c r="V13" s="12"/>
      <c r="W13" s="13">
        <f t="shared" si="3"/>
        <v>0.21980749962338958</v>
      </c>
      <c r="X13" s="13"/>
      <c r="Y13" s="11" t="str">
        <f t="shared" si="4"/>
        <v>less intelligent.[jj*] PUNC</v>
      </c>
      <c r="Z13" s="12">
        <v>64</v>
      </c>
      <c r="AA13" s="12">
        <v>1</v>
      </c>
      <c r="AB13" s="13">
        <f t="shared" si="5"/>
        <v>0.21818028931373587</v>
      </c>
      <c r="AC13" s="13"/>
      <c r="AD13" s="11" t="str">
        <f t="shared" si="18"/>
        <v>less intelligent.[jj*] [i*]</v>
      </c>
      <c r="AE13" s="12">
        <v>12</v>
      </c>
      <c r="AF13" s="12"/>
      <c r="AG13" s="13">
        <f t="shared" si="6"/>
        <v>0.25477163060633795</v>
      </c>
      <c r="AH13" s="13"/>
      <c r="AI13" s="11" t="str">
        <f t="shared" si="19"/>
        <v>intelligent.[jj*] enough</v>
      </c>
      <c r="AJ13" s="12">
        <v>337</v>
      </c>
      <c r="AK13" s="12"/>
      <c r="AL13" s="13">
        <f t="shared" si="7"/>
        <v>0.2494253092093531</v>
      </c>
      <c r="AM13" s="13"/>
      <c r="AN13" s="11" t="str">
        <f t="shared" si="20"/>
        <v>that.[r*] intelligent.[jj*] PUNC</v>
      </c>
      <c r="AO13" s="12">
        <v>19</v>
      </c>
      <c r="AP13" s="12"/>
      <c r="AQ13" s="13">
        <f t="shared" si="8"/>
        <v>0.1968629158926507</v>
      </c>
      <c r="AR13" s="13"/>
      <c r="AS13" s="11" t="str">
        <f t="shared" si="21"/>
        <v>that.[r*] intelligent.[jj*] [i*]</v>
      </c>
      <c r="AT13" s="12">
        <v>0</v>
      </c>
      <c r="AU13" s="12"/>
      <c r="AV13" s="13">
        <f t="shared" si="9"/>
        <v>-1</v>
      </c>
      <c r="AW13" s="13"/>
      <c r="AX13" s="11" t="str">
        <f t="shared" si="22"/>
        <v>-a little intelligent.[jj*] PUNC</v>
      </c>
      <c r="AY13" s="12">
        <v>0</v>
      </c>
      <c r="AZ13" s="12"/>
      <c r="BA13" s="13">
        <f t="shared" si="10"/>
        <v>-1</v>
      </c>
      <c r="BB13" s="13"/>
      <c r="BC13" s="11" t="str">
        <f t="shared" si="23"/>
        <v>-a little.[r*] intelligent.[jj*] [i*]</v>
      </c>
      <c r="BD13" s="12">
        <v>0</v>
      </c>
      <c r="BE13" s="12"/>
      <c r="BF13" s="13">
        <f t="shared" si="11"/>
        <v>-1</v>
      </c>
      <c r="BG13" s="13"/>
      <c r="BH13" s="11" t="str">
        <f t="shared" si="24"/>
        <v>no intelligent.[jj*] PUNC</v>
      </c>
      <c r="BI13" s="12">
        <v>0</v>
      </c>
      <c r="BJ13" s="12">
        <v>5</v>
      </c>
      <c r="BK13" s="13">
        <f t="shared" si="12"/>
        <v>-1</v>
      </c>
      <c r="BL13" s="13"/>
      <c r="BM13" s="11" t="str">
        <f t="shared" si="25"/>
        <v>no intelligent.[jj*] [i*]</v>
      </c>
      <c r="BN13" s="12">
        <v>0</v>
      </c>
      <c r="BO13" s="12"/>
      <c r="BP13" s="13">
        <f t="shared" si="13"/>
        <v>-1</v>
      </c>
      <c r="BQ13" s="13"/>
      <c r="BR13" s="11" t="str">
        <f t="shared" si="26"/>
        <v>any intelligent.[jj*] PUNC</v>
      </c>
      <c r="BS13" s="12">
        <v>0</v>
      </c>
      <c r="BT13" s="12">
        <v>6</v>
      </c>
      <c r="BU13" s="13">
        <f t="shared" si="14"/>
        <v>-1</v>
      </c>
      <c r="BV13" s="13"/>
      <c r="BW13" s="11" t="str">
        <f t="shared" si="27"/>
        <v>any intelligent.[jj*] [i*]</v>
      </c>
      <c r="BX13" s="12">
        <v>0</v>
      </c>
      <c r="BY13" s="12"/>
      <c r="BZ13" s="13">
        <f t="shared" si="15"/>
        <v>-1</v>
      </c>
      <c r="CA13" s="13"/>
    </row>
    <row r="14" spans="1:79" x14ac:dyDescent="0.2">
      <c r="A14" s="11" t="s">
        <v>20</v>
      </c>
      <c r="B14" s="12">
        <v>50748</v>
      </c>
      <c r="C14" s="12">
        <v>14998</v>
      </c>
      <c r="D14" s="12">
        <v>2539</v>
      </c>
      <c r="E14" s="11" t="s">
        <v>221</v>
      </c>
      <c r="F14" s="12">
        <v>0</v>
      </c>
      <c r="G14" s="12"/>
      <c r="H14" s="13">
        <f t="shared" si="0"/>
        <v>-1</v>
      </c>
      <c r="I14" s="13"/>
      <c r="J14" s="13" t="str">
        <f t="shared" si="16"/>
        <v>-very much expensive.[jj*] [i*]</v>
      </c>
      <c r="K14" s="12">
        <v>1</v>
      </c>
      <c r="L14" s="12"/>
      <c r="M14" s="13">
        <f t="shared" si="1"/>
        <v>-3.9278280683259691E-2</v>
      </c>
      <c r="N14" s="13"/>
      <c r="O14" s="13" t="str">
        <f t="shared" si="17"/>
        <v>more expensive.[jj*] PUNC</v>
      </c>
      <c r="P14" s="12">
        <v>1814</v>
      </c>
      <c r="Q14" s="12"/>
      <c r="R14" s="13">
        <f t="shared" si="2"/>
        <v>0.30030152924085662</v>
      </c>
      <c r="S14" s="13"/>
      <c r="T14" s="13" t="str">
        <f t="shared" si="28"/>
        <v>more expensive.[jj*] [i*]</v>
      </c>
      <c r="U14" s="12">
        <v>448</v>
      </c>
      <c r="V14" s="12"/>
      <c r="W14" s="13">
        <f t="shared" si="3"/>
        <v>0.297407102568224</v>
      </c>
      <c r="X14" s="13"/>
      <c r="Y14" s="11" t="str">
        <f t="shared" si="4"/>
        <v>less expensive.[jj*] PUNC</v>
      </c>
      <c r="Z14" s="12">
        <v>652</v>
      </c>
      <c r="AA14" s="12"/>
      <c r="AB14" s="13">
        <f t="shared" si="5"/>
        <v>0.34084842366735463</v>
      </c>
      <c r="AC14" s="13"/>
      <c r="AD14" s="11" t="str">
        <f t="shared" si="18"/>
        <v>less expensive.[jj*] [i*]</v>
      </c>
      <c r="AE14" s="12">
        <v>156</v>
      </c>
      <c r="AF14" s="12"/>
      <c r="AG14" s="13">
        <f t="shared" si="6"/>
        <v>0.33182081164740407</v>
      </c>
      <c r="AH14" s="13"/>
      <c r="AI14" s="11" t="str">
        <f t="shared" si="19"/>
        <v>expensive.[jj*] enough</v>
      </c>
      <c r="AJ14" s="12">
        <v>59</v>
      </c>
      <c r="AK14" s="12"/>
      <c r="AL14" s="13">
        <f t="shared" si="7"/>
        <v>6.4798887578730827E-2</v>
      </c>
      <c r="AM14" s="13"/>
      <c r="AN14" s="11" t="str">
        <f t="shared" si="20"/>
        <v>that.[r*] expensive.[jj*] PUNC</v>
      </c>
      <c r="AO14" s="12">
        <v>118</v>
      </c>
      <c r="AP14" s="12"/>
      <c r="AQ14" s="13">
        <f t="shared" si="8"/>
        <v>0.26616304299704907</v>
      </c>
      <c r="AR14" s="13"/>
      <c r="AS14" s="11" t="str">
        <f t="shared" si="21"/>
        <v>that.[r*] expensive.[jj*] [i*]</v>
      </c>
      <c r="AT14" s="12">
        <v>0</v>
      </c>
      <c r="AU14" s="12"/>
      <c r="AV14" s="13">
        <f t="shared" si="9"/>
        <v>-1</v>
      </c>
      <c r="AW14" s="13"/>
      <c r="AX14" s="11" t="str">
        <f t="shared" si="22"/>
        <v>-a little expensive.[jj*] PUNC</v>
      </c>
      <c r="AY14" s="12">
        <v>0</v>
      </c>
      <c r="AZ14" s="12">
        <v>1</v>
      </c>
      <c r="BA14" s="13">
        <f t="shared" si="10"/>
        <v>-1</v>
      </c>
      <c r="BB14" s="13"/>
      <c r="BC14" s="11" t="str">
        <f t="shared" si="23"/>
        <v>-a little.[r*] expensive.[jj*] [i*]</v>
      </c>
      <c r="BD14" s="12">
        <v>0</v>
      </c>
      <c r="BE14" s="12"/>
      <c r="BF14" s="13">
        <f t="shared" si="11"/>
        <v>-1</v>
      </c>
      <c r="BG14" s="13"/>
      <c r="BH14" s="11" t="str">
        <f t="shared" si="24"/>
        <v>no expensive.[jj*] PUNC</v>
      </c>
      <c r="BI14" s="12">
        <v>0</v>
      </c>
      <c r="BJ14" s="12"/>
      <c r="BK14" s="13">
        <f t="shared" si="12"/>
        <v>-1</v>
      </c>
      <c r="BL14" s="13"/>
      <c r="BM14" s="11" t="str">
        <f t="shared" si="25"/>
        <v>no expensive.[jj*] [i*]</v>
      </c>
      <c r="BN14" s="12">
        <v>0</v>
      </c>
      <c r="BO14" s="12"/>
      <c r="BP14" s="13">
        <f t="shared" si="13"/>
        <v>-1</v>
      </c>
      <c r="BQ14" s="13"/>
      <c r="BR14" s="11" t="str">
        <f t="shared" si="26"/>
        <v>any expensive.[jj*] PUNC</v>
      </c>
      <c r="BS14" s="12">
        <v>0</v>
      </c>
      <c r="BT14" s="12">
        <v>1</v>
      </c>
      <c r="BU14" s="13">
        <f t="shared" si="14"/>
        <v>-1</v>
      </c>
      <c r="BV14" s="13"/>
      <c r="BW14" s="11" t="str">
        <f t="shared" si="27"/>
        <v>any expensive.[jj*] [i*]</v>
      </c>
      <c r="BX14" s="12">
        <v>0</v>
      </c>
      <c r="BY14" s="12"/>
      <c r="BZ14" s="13">
        <f t="shared" si="15"/>
        <v>-1</v>
      </c>
      <c r="CA14" s="13"/>
    </row>
    <row r="15" spans="1:79" x14ac:dyDescent="0.2">
      <c r="A15" s="11" t="s">
        <v>23</v>
      </c>
      <c r="B15" s="12">
        <v>49537</v>
      </c>
      <c r="C15" s="12">
        <v>10819</v>
      </c>
      <c r="D15" s="12">
        <v>15191</v>
      </c>
      <c r="E15" s="11" t="s">
        <v>222</v>
      </c>
      <c r="F15" s="12">
        <v>0</v>
      </c>
      <c r="G15" s="12"/>
      <c r="H15" s="13">
        <f t="shared" si="0"/>
        <v>-1</v>
      </c>
      <c r="I15" s="13"/>
      <c r="J15" s="13" t="str">
        <f t="shared" si="16"/>
        <v>-very much comfortable.[jj*] [i*]</v>
      </c>
      <c r="K15" s="12">
        <v>0</v>
      </c>
      <c r="L15" s="12"/>
      <c r="M15" s="13">
        <f t="shared" si="1"/>
        <v>-1</v>
      </c>
      <c r="N15" s="13"/>
      <c r="O15" s="13" t="str">
        <f t="shared" si="17"/>
        <v>more comfortable.[jj*] PUNC</v>
      </c>
      <c r="P15" s="12">
        <v>1420</v>
      </c>
      <c r="Q15" s="12"/>
      <c r="R15" s="13">
        <f t="shared" si="2"/>
        <v>0.30091027649851954</v>
      </c>
      <c r="S15" s="13"/>
      <c r="T15" s="13" t="str">
        <f t="shared" si="28"/>
        <v>more comfortable.[jj*] [i*]</v>
      </c>
      <c r="U15" s="12">
        <v>2304</v>
      </c>
      <c r="V15" s="12"/>
      <c r="W15" s="13">
        <f t="shared" si="3"/>
        <v>0.32326345728551048</v>
      </c>
      <c r="X15" s="13"/>
      <c r="Y15" s="11" t="str">
        <f t="shared" si="4"/>
        <v>less comfortable.[jj*] PUNC</v>
      </c>
      <c r="Z15" s="12">
        <v>61</v>
      </c>
      <c r="AA15" s="12"/>
      <c r="AB15" s="13">
        <f t="shared" si="5"/>
        <v>0.16931437772029129</v>
      </c>
      <c r="AC15" s="13"/>
      <c r="AD15" s="11" t="str">
        <f t="shared" si="18"/>
        <v>less comfortable.[jj*] [i*]</v>
      </c>
      <c r="AE15" s="12">
        <v>88</v>
      </c>
      <c r="AF15" s="12"/>
      <c r="AG15" s="13">
        <f t="shared" si="6"/>
        <v>0.17479853760005332</v>
      </c>
      <c r="AH15" s="13"/>
      <c r="AI15" s="11" t="str">
        <f t="shared" si="19"/>
        <v>comfortable.[jj*] enough</v>
      </c>
      <c r="AJ15" s="12">
        <v>547</v>
      </c>
      <c r="AK15" s="12"/>
      <c r="AL15" s="13">
        <f t="shared" si="7"/>
        <v>0.2308933594573668</v>
      </c>
      <c r="AM15" s="13"/>
      <c r="AN15" s="11" t="str">
        <f t="shared" si="20"/>
        <v>that.[r*] comfortable.[jj*] PUNC</v>
      </c>
      <c r="AO15" s="12">
        <v>25</v>
      </c>
      <c r="AP15" s="12"/>
      <c r="AQ15" s="13">
        <f t="shared" si="8"/>
        <v>0.17258880687834216</v>
      </c>
      <c r="AR15" s="13"/>
      <c r="AS15" s="11" t="str">
        <f t="shared" si="21"/>
        <v>that.[r*] comfortable.[jj*] [i*]</v>
      </c>
      <c r="AT15" s="12">
        <v>4</v>
      </c>
      <c r="AU15" s="12"/>
      <c r="AV15" s="13">
        <f t="shared" si="9"/>
        <v>4.3928920532695308E-2</v>
      </c>
      <c r="AW15" s="13"/>
      <c r="AX15" s="11" t="str">
        <f t="shared" si="22"/>
        <v>-a little comfortable.[jj*] PUNC</v>
      </c>
      <c r="AY15" s="12">
        <v>0</v>
      </c>
      <c r="AZ15" s="12"/>
      <c r="BA15" s="13">
        <f t="shared" si="10"/>
        <v>-1</v>
      </c>
      <c r="BB15" s="13"/>
      <c r="BC15" s="11" t="str">
        <f t="shared" si="23"/>
        <v>-a little.[r*] comfortable.[jj*] [i*]</v>
      </c>
      <c r="BD15" s="12">
        <v>0</v>
      </c>
      <c r="BE15" s="12"/>
      <c r="BF15" s="13">
        <f t="shared" si="11"/>
        <v>-1</v>
      </c>
      <c r="BG15" s="13"/>
      <c r="BH15" s="11" t="str">
        <f t="shared" si="24"/>
        <v>no comfortable.[jj*] PUNC</v>
      </c>
      <c r="BI15" s="12">
        <v>0</v>
      </c>
      <c r="BJ15" s="12"/>
      <c r="BK15" s="13">
        <f t="shared" si="12"/>
        <v>-1</v>
      </c>
      <c r="BL15" s="13"/>
      <c r="BM15" s="11" t="str">
        <f t="shared" si="25"/>
        <v>no comfortable.[jj*] [i*]</v>
      </c>
      <c r="BN15" s="12">
        <v>0</v>
      </c>
      <c r="BO15" s="12"/>
      <c r="BP15" s="13">
        <f t="shared" si="13"/>
        <v>-1</v>
      </c>
      <c r="BQ15" s="13"/>
      <c r="BR15" s="11" t="str">
        <f t="shared" si="26"/>
        <v>any comfortable.[jj*] PUNC</v>
      </c>
      <c r="BS15" s="12">
        <v>0</v>
      </c>
      <c r="BT15" s="12"/>
      <c r="BU15" s="13">
        <f t="shared" si="14"/>
        <v>-1</v>
      </c>
      <c r="BV15" s="13"/>
      <c r="BW15" s="11" t="str">
        <f t="shared" si="27"/>
        <v>any comfortable.[jj*] [i*]</v>
      </c>
      <c r="BX15" s="12">
        <v>0</v>
      </c>
      <c r="BY15" s="12"/>
      <c r="BZ15" s="13">
        <f t="shared" si="15"/>
        <v>-1</v>
      </c>
      <c r="CA15" s="13"/>
    </row>
    <row r="16" spans="1:79" x14ac:dyDescent="0.2">
      <c r="A16" s="31" t="s">
        <v>30</v>
      </c>
      <c r="B16" s="32">
        <v>55200</v>
      </c>
      <c r="C16" s="32">
        <v>8909</v>
      </c>
      <c r="D16" s="32">
        <v>661</v>
      </c>
      <c r="E16" s="31" t="s">
        <v>223</v>
      </c>
      <c r="F16" s="32">
        <v>374</v>
      </c>
      <c r="G16" s="32"/>
      <c r="H16" s="33">
        <f t="shared" si="0"/>
        <v>0.26043127195607563</v>
      </c>
      <c r="I16" s="34">
        <f>AVERAGE(H16:H22)</f>
        <v>0.28413440516223515</v>
      </c>
      <c r="J16" s="33" t="str">
        <f t="shared" si="16"/>
        <v>-very much younger.[jj*] [i*]</v>
      </c>
      <c r="K16" s="32">
        <v>24</v>
      </c>
      <c r="L16" s="32"/>
      <c r="M16" s="33">
        <f t="shared" si="1"/>
        <v>0.21140399746346983</v>
      </c>
      <c r="N16" s="34">
        <f>AVERAGE(M16:M22)</f>
        <v>0.26499177858773021</v>
      </c>
      <c r="O16" s="33" t="str">
        <f t="shared" si="17"/>
        <v>more younger.[jj*] PUNC</v>
      </c>
      <c r="P16" s="32">
        <v>3</v>
      </c>
      <c r="Q16" s="32">
        <v>7</v>
      </c>
      <c r="R16" s="33">
        <f t="shared" si="2"/>
        <v>-9.7463918137980859E-2</v>
      </c>
      <c r="S16" s="34">
        <f>AVERAGE(R16:R22)</f>
        <v>-0.10195934616335536</v>
      </c>
      <c r="T16" s="33" t="str">
        <f t="shared" si="28"/>
        <v>more younger.[jj*] [i*]</v>
      </c>
      <c r="U16" s="32">
        <v>0</v>
      </c>
      <c r="V16" s="32"/>
      <c r="W16" s="33">
        <f t="shared" si="3"/>
        <v>-1</v>
      </c>
      <c r="X16" s="34">
        <f>AVERAGE(W16:W22)</f>
        <v>-0.75618487540296109</v>
      </c>
      <c r="Y16" s="31" t="str">
        <f t="shared" si="4"/>
        <v>less younger.[jj*] PUNC</v>
      </c>
      <c r="Z16" s="32">
        <v>0</v>
      </c>
      <c r="AA16" s="32"/>
      <c r="AB16" s="33">
        <f t="shared" si="5"/>
        <v>-1</v>
      </c>
      <c r="AC16" s="34">
        <f>AVERAGE(AB16:AB22)</f>
        <v>-1</v>
      </c>
      <c r="AD16" s="31" t="str">
        <f t="shared" si="18"/>
        <v>less younger.[jj*] [i*]</v>
      </c>
      <c r="AE16" s="32">
        <v>0</v>
      </c>
      <c r="AF16" s="32"/>
      <c r="AG16" s="33">
        <f t="shared" si="6"/>
        <v>-1</v>
      </c>
      <c r="AH16" s="34">
        <f>AVERAGE(AG16:AG22)</f>
        <v>-1</v>
      </c>
      <c r="AI16" s="31" t="str">
        <f t="shared" si="19"/>
        <v>younger.[jj*] enough</v>
      </c>
      <c r="AJ16" s="32">
        <v>0</v>
      </c>
      <c r="AK16" s="32"/>
      <c r="AL16" s="33">
        <f t="shared" si="7"/>
        <v>-1</v>
      </c>
      <c r="AM16" s="34">
        <f>AVERAGE(AL16:AL22)</f>
        <v>-0.75288857171353496</v>
      </c>
      <c r="AN16" s="31" t="str">
        <f t="shared" si="20"/>
        <v>that.[r*] younger.[jj*] PUNC</v>
      </c>
      <c r="AO16" s="32">
        <v>0</v>
      </c>
      <c r="AP16" s="32"/>
      <c r="AQ16" s="33">
        <f t="shared" si="8"/>
        <v>-1</v>
      </c>
      <c r="AR16" s="34">
        <f>AVERAGE(AQ16:AQ22)</f>
        <v>-1</v>
      </c>
      <c r="AS16" s="31" t="str">
        <f t="shared" si="21"/>
        <v>that.[r*] younger.[jj*] [i*]</v>
      </c>
      <c r="AT16" s="32">
        <v>0</v>
      </c>
      <c r="AU16" s="32"/>
      <c r="AV16" s="33">
        <f t="shared" si="9"/>
        <v>-1</v>
      </c>
      <c r="AW16" s="34">
        <f>AVERAGE(AV16:AV22)</f>
        <v>-1</v>
      </c>
      <c r="AX16" s="31" t="str">
        <f t="shared" si="22"/>
        <v>-a little younger.[jj*] PUNC</v>
      </c>
      <c r="AY16" s="32">
        <v>0</v>
      </c>
      <c r="AZ16" s="32">
        <v>1</v>
      </c>
      <c r="BA16" s="33">
        <f t="shared" si="10"/>
        <v>-1</v>
      </c>
      <c r="BB16" s="34">
        <f>AVERAGE(BA16:BA22)</f>
        <v>-0.86665059382737808</v>
      </c>
      <c r="BC16" s="31" t="str">
        <f t="shared" si="23"/>
        <v>-a little.[r*] younger.[jj*] [i*]</v>
      </c>
      <c r="BD16" s="32">
        <v>0</v>
      </c>
      <c r="BE16" s="32"/>
      <c r="BF16" s="33">
        <f t="shared" si="11"/>
        <v>-1</v>
      </c>
      <c r="BG16" s="34">
        <f>AVERAGE(BF16:BF22)</f>
        <v>-0.86465672419467132</v>
      </c>
      <c r="BH16" s="31" t="str">
        <f t="shared" si="24"/>
        <v>no younger.[jj*] PUNC</v>
      </c>
      <c r="BI16" s="32">
        <v>14</v>
      </c>
      <c r="BJ16" s="32"/>
      <c r="BK16" s="33">
        <f t="shared" si="12"/>
        <v>1.2374139736325885E-3</v>
      </c>
      <c r="BL16" s="34">
        <f>AVERAGE(BK16:BK22)</f>
        <v>-0.1479226557811868</v>
      </c>
      <c r="BM16" s="31" t="str">
        <f t="shared" si="25"/>
        <v>no younger.[jj*] [i*]</v>
      </c>
      <c r="BN16" s="32">
        <v>1</v>
      </c>
      <c r="BO16" s="32"/>
      <c r="BP16" s="33">
        <f t="shared" si="13"/>
        <v>-7.5328339800472032E-4</v>
      </c>
      <c r="BQ16" s="34">
        <f>AVERAGE(BP16:BP22)</f>
        <v>-0.12551003058922905</v>
      </c>
      <c r="BR16" s="31" t="str">
        <f t="shared" si="26"/>
        <v>any younger.[jj*] PUNC</v>
      </c>
      <c r="BS16" s="32">
        <v>261</v>
      </c>
      <c r="BT16" s="32">
        <v>2</v>
      </c>
      <c r="BU16" s="33">
        <f t="shared" si="14"/>
        <v>0.22311563939218179</v>
      </c>
      <c r="BV16" s="34">
        <f>AVERAGE(BU16:BU22)</f>
        <v>0.21925305066031334</v>
      </c>
      <c r="BW16" s="31" t="str">
        <f t="shared" si="27"/>
        <v>any younger.[jj*] [i*]</v>
      </c>
      <c r="BX16" s="32">
        <v>3</v>
      </c>
      <c r="BY16" s="32"/>
      <c r="BZ16" s="33">
        <f t="shared" si="15"/>
        <v>7.7337882768134622E-2</v>
      </c>
      <c r="CA16" s="34">
        <f>AVERAGE(BZ16:BZ22)</f>
        <v>0.11134395537360245</v>
      </c>
    </row>
    <row r="17" spans="1:79" x14ac:dyDescent="0.2">
      <c r="A17" s="31" t="s">
        <v>24</v>
      </c>
      <c r="B17" s="32">
        <v>55569</v>
      </c>
      <c r="C17" s="32">
        <v>8153</v>
      </c>
      <c r="D17" s="32">
        <v>1063</v>
      </c>
      <c r="E17" s="31" t="s">
        <v>224</v>
      </c>
      <c r="F17" s="32">
        <v>521</v>
      </c>
      <c r="G17" s="32"/>
      <c r="H17" s="33">
        <f t="shared" si="0"/>
        <v>0.29543387780846642</v>
      </c>
      <c r="I17" s="33"/>
      <c r="J17" s="33" t="str">
        <f t="shared" si="16"/>
        <v>-very much bigger.[jj*] [i*]</v>
      </c>
      <c r="K17" s="32">
        <v>67</v>
      </c>
      <c r="L17" s="32"/>
      <c r="M17" s="33">
        <f t="shared" si="1"/>
        <v>0.25792396907215953</v>
      </c>
      <c r="N17" s="33"/>
      <c r="O17" s="33" t="str">
        <f t="shared" si="17"/>
        <v>more bigger.[jj*] PUNC</v>
      </c>
      <c r="P17" s="32">
        <v>2</v>
      </c>
      <c r="Q17" s="32"/>
      <c r="R17" s="33">
        <f t="shared" si="2"/>
        <v>-0.1113046203402895</v>
      </c>
      <c r="S17" s="33"/>
      <c r="T17" s="33" t="str">
        <f t="shared" si="28"/>
        <v>more bigger.[jj*] [i*]</v>
      </c>
      <c r="U17" s="32">
        <v>0</v>
      </c>
      <c r="V17" s="32"/>
      <c r="W17" s="33">
        <f t="shared" si="3"/>
        <v>-1</v>
      </c>
      <c r="X17" s="33"/>
      <c r="Y17" s="31" t="str">
        <f t="shared" si="4"/>
        <v>less bigger.[jj*] PUNC</v>
      </c>
      <c r="Z17" s="32">
        <v>0</v>
      </c>
      <c r="AA17" s="32"/>
      <c r="AB17" s="33">
        <f t="shared" si="5"/>
        <v>-1</v>
      </c>
      <c r="AC17" s="33"/>
      <c r="AD17" s="31" t="str">
        <f t="shared" si="18"/>
        <v>less bigger.[jj*] [i*]</v>
      </c>
      <c r="AE17" s="32">
        <v>0</v>
      </c>
      <c r="AF17" s="32"/>
      <c r="AG17" s="33">
        <f t="shared" si="6"/>
        <v>-1</v>
      </c>
      <c r="AH17" s="33"/>
      <c r="AI17" s="31" t="str">
        <f t="shared" si="19"/>
        <v>bigger.[jj*] enough</v>
      </c>
      <c r="AJ17" s="32">
        <v>2</v>
      </c>
      <c r="AK17" s="32"/>
      <c r="AL17" s="33">
        <f t="shared" si="7"/>
        <v>-0.11961919701038073</v>
      </c>
      <c r="AM17" s="33"/>
      <c r="AN17" s="31" t="str">
        <f t="shared" si="20"/>
        <v>that.[r*] bigger.[jj*] PUNC</v>
      </c>
      <c r="AO17" s="32">
        <v>0</v>
      </c>
      <c r="AP17" s="32">
        <v>2</v>
      </c>
      <c r="AQ17" s="33">
        <f t="shared" si="8"/>
        <v>-1</v>
      </c>
      <c r="AR17" s="33"/>
      <c r="AS17" s="31" t="str">
        <f t="shared" si="21"/>
        <v>that.[r*] bigger.[jj*] [i*]</v>
      </c>
      <c r="AT17" s="32">
        <v>0</v>
      </c>
      <c r="AU17" s="32"/>
      <c r="AV17" s="33">
        <f t="shared" si="9"/>
        <v>-1</v>
      </c>
      <c r="AW17" s="33"/>
      <c r="AX17" s="31" t="str">
        <f t="shared" si="22"/>
        <v>-a little bigger.[jj*] PUNC</v>
      </c>
      <c r="AY17" s="32">
        <v>0</v>
      </c>
      <c r="AZ17" s="32">
        <v>5</v>
      </c>
      <c r="BA17" s="33">
        <f t="shared" si="10"/>
        <v>-1</v>
      </c>
      <c r="BB17" s="33"/>
      <c r="BC17" s="31" t="str">
        <f t="shared" si="23"/>
        <v>-a little.[r*] bigger.[jj*] [i*]</v>
      </c>
      <c r="BD17" s="32">
        <v>0</v>
      </c>
      <c r="BE17" s="32">
        <v>1</v>
      </c>
      <c r="BF17" s="33">
        <f t="shared" si="11"/>
        <v>-1</v>
      </c>
      <c r="BG17" s="33"/>
      <c r="BH17" s="31" t="str">
        <f t="shared" si="24"/>
        <v>no bigger.[jj*] PUNC</v>
      </c>
      <c r="BI17" s="32">
        <v>12</v>
      </c>
      <c r="BJ17" s="32">
        <v>1</v>
      </c>
      <c r="BK17" s="33">
        <f t="shared" si="12"/>
        <v>-2.3624162347169711E-3</v>
      </c>
      <c r="BL17" s="33"/>
      <c r="BM17" s="31" t="str">
        <f t="shared" si="25"/>
        <v>no bigger.[jj*] [i*]</v>
      </c>
      <c r="BN17" s="32">
        <v>14</v>
      </c>
      <c r="BO17" s="32"/>
      <c r="BP17" s="33">
        <f t="shared" si="13"/>
        <v>0.11877795925568362</v>
      </c>
      <c r="BQ17" s="33"/>
      <c r="BR17" s="31" t="str">
        <f t="shared" si="26"/>
        <v>any bigger.[jj*] PUNC</v>
      </c>
      <c r="BS17" s="32">
        <v>94</v>
      </c>
      <c r="BT17" s="32">
        <v>1</v>
      </c>
      <c r="BU17" s="33">
        <f t="shared" si="14"/>
        <v>0.1514100675633949</v>
      </c>
      <c r="BV17" s="33"/>
      <c r="BW17" s="31" t="str">
        <f t="shared" si="27"/>
        <v>any bigger.[jj*] [i*]</v>
      </c>
      <c r="BX17" s="32">
        <v>7</v>
      </c>
      <c r="BY17" s="32"/>
      <c r="BZ17" s="33">
        <f t="shared" si="15"/>
        <v>0.10064586577502949</v>
      </c>
      <c r="CA17" s="33"/>
    </row>
    <row r="18" spans="1:79" x14ac:dyDescent="0.2">
      <c r="A18" s="31" t="s">
        <v>27</v>
      </c>
      <c r="B18" s="32">
        <v>5469</v>
      </c>
      <c r="C18" s="32">
        <v>665</v>
      </c>
      <c r="D18" s="32">
        <v>197</v>
      </c>
      <c r="E18" s="31" t="s">
        <v>225</v>
      </c>
      <c r="F18" s="32">
        <v>57</v>
      </c>
      <c r="G18" s="32"/>
      <c r="H18" s="33">
        <f t="shared" si="0"/>
        <v>0.27385211220433919</v>
      </c>
      <c r="I18" s="33"/>
      <c r="J18" s="33" t="str">
        <f t="shared" si="16"/>
        <v>-very much slower.[jj*] [i*]</v>
      </c>
      <c r="K18" s="32">
        <v>24</v>
      </c>
      <c r="L18" s="32"/>
      <c r="M18" s="33">
        <f t="shared" si="1"/>
        <v>0.28038868966035374</v>
      </c>
      <c r="N18" s="33"/>
      <c r="O18" s="33" t="str">
        <f t="shared" si="17"/>
        <v>more slower.[jj*] PUNC</v>
      </c>
      <c r="P18" s="32">
        <v>1</v>
      </c>
      <c r="Q18" s="32"/>
      <c r="R18" s="33">
        <f t="shared" si="2"/>
        <v>-2.0098227962796252E-2</v>
      </c>
      <c r="S18" s="33"/>
      <c r="T18" s="33" t="str">
        <f t="shared" si="28"/>
        <v>more slower.[jj*] [i*]</v>
      </c>
      <c r="U18" s="32">
        <v>0</v>
      </c>
      <c r="V18" s="32"/>
      <c r="W18" s="33">
        <f t="shared" si="3"/>
        <v>-1</v>
      </c>
      <c r="X18" s="33"/>
      <c r="Y18" s="31" t="str">
        <f t="shared" si="4"/>
        <v>less slower.[jj*] PUNC</v>
      </c>
      <c r="Z18" s="32">
        <v>0</v>
      </c>
      <c r="AA18" s="32"/>
      <c r="AB18" s="33">
        <f t="shared" si="5"/>
        <v>-1</v>
      </c>
      <c r="AC18" s="33"/>
      <c r="AD18" s="31" t="str">
        <f t="shared" si="18"/>
        <v>less slower.[jj*] [i*]</v>
      </c>
      <c r="AE18" s="32">
        <v>0</v>
      </c>
      <c r="AF18" s="32"/>
      <c r="AG18" s="33">
        <f t="shared" si="6"/>
        <v>-1</v>
      </c>
      <c r="AH18" s="33"/>
      <c r="AI18" s="31" t="str">
        <f t="shared" si="19"/>
        <v>slower.[jj*] enough</v>
      </c>
      <c r="AJ18" s="32">
        <v>0</v>
      </c>
      <c r="AK18" s="32"/>
      <c r="AL18" s="33">
        <f t="shared" si="7"/>
        <v>-1</v>
      </c>
      <c r="AM18" s="33"/>
      <c r="AN18" s="31" t="str">
        <f t="shared" si="20"/>
        <v>that.[r*] slower.[jj*] PUNC</v>
      </c>
      <c r="AO18" s="32">
        <v>0</v>
      </c>
      <c r="AP18" s="32">
        <v>1</v>
      </c>
      <c r="AQ18" s="33">
        <f t="shared" si="8"/>
        <v>-1</v>
      </c>
      <c r="AR18" s="33"/>
      <c r="AS18" s="31" t="str">
        <f t="shared" si="21"/>
        <v>that.[r*] slower.[jj*] [i*]</v>
      </c>
      <c r="AT18" s="32">
        <v>0</v>
      </c>
      <c r="AU18" s="32"/>
      <c r="AV18" s="33">
        <f t="shared" si="9"/>
        <v>-1</v>
      </c>
      <c r="AW18" s="33"/>
      <c r="AX18" s="31" t="str">
        <f t="shared" si="22"/>
        <v>-a little slower.[jj*] PUNC</v>
      </c>
      <c r="AY18" s="32">
        <v>0</v>
      </c>
      <c r="AZ18" s="32"/>
      <c r="BA18" s="33">
        <f t="shared" si="10"/>
        <v>-1</v>
      </c>
      <c r="BB18" s="33"/>
      <c r="BC18" s="31" t="str">
        <f t="shared" si="23"/>
        <v>-a little.[r*] slower.[jj*] [i*]</v>
      </c>
      <c r="BD18" s="32">
        <v>0</v>
      </c>
      <c r="BE18" s="32"/>
      <c r="BF18" s="33">
        <f t="shared" si="11"/>
        <v>-1</v>
      </c>
      <c r="BG18" s="33"/>
      <c r="BH18" s="31" t="str">
        <f t="shared" si="24"/>
        <v>no slower.[jj*] PUNC</v>
      </c>
      <c r="BI18" s="32">
        <v>0</v>
      </c>
      <c r="BJ18" s="32"/>
      <c r="BK18" s="33">
        <f t="shared" si="12"/>
        <v>-1</v>
      </c>
      <c r="BL18" s="33"/>
      <c r="BM18" s="31" t="str">
        <f t="shared" si="25"/>
        <v>no slower.[jj*] [i*]</v>
      </c>
      <c r="BN18" s="32">
        <v>0</v>
      </c>
      <c r="BO18" s="32"/>
      <c r="BP18" s="33">
        <f t="shared" si="13"/>
        <v>-1</v>
      </c>
      <c r="BQ18" s="33"/>
      <c r="BR18" s="31" t="str">
        <f t="shared" si="26"/>
        <v>any slower.[jj*] PUNC</v>
      </c>
      <c r="BS18" s="32">
        <v>40</v>
      </c>
      <c r="BT18" s="32"/>
      <c r="BU18" s="33">
        <f t="shared" si="14"/>
        <v>0.24077717915330238</v>
      </c>
      <c r="BV18" s="33"/>
      <c r="BW18" s="31" t="str">
        <f t="shared" si="27"/>
        <v>any slower.[jj*] [i*]</v>
      </c>
      <c r="BX18" s="32">
        <v>1</v>
      </c>
      <c r="BY18" s="32"/>
      <c r="BZ18" s="33">
        <f t="shared" si="15"/>
        <v>7.8639304990988021E-2</v>
      </c>
      <c r="CA18" s="33"/>
    </row>
    <row r="19" spans="1:79" x14ac:dyDescent="0.2">
      <c r="A19" s="31" t="s">
        <v>28</v>
      </c>
      <c r="B19" s="32">
        <v>57370</v>
      </c>
      <c r="C19" s="32">
        <v>7807</v>
      </c>
      <c r="D19" s="32">
        <v>1414</v>
      </c>
      <c r="E19" s="31" t="s">
        <v>226</v>
      </c>
      <c r="F19" s="32">
        <v>565</v>
      </c>
      <c r="G19" s="32"/>
      <c r="H19" s="33">
        <f t="shared" si="0"/>
        <v>0.30574661854562002</v>
      </c>
      <c r="I19" s="33"/>
      <c r="J19" s="33" t="str">
        <f t="shared" si="16"/>
        <v>-very much smaller.[jj*] [i*]</v>
      </c>
      <c r="K19" s="32">
        <v>112</v>
      </c>
      <c r="L19" s="32"/>
      <c r="M19" s="33">
        <f t="shared" si="1"/>
        <v>0.280475791110677</v>
      </c>
      <c r="N19" s="33"/>
      <c r="O19" s="33" t="str">
        <f t="shared" si="17"/>
        <v>more smaller.[jj*] PUNC</v>
      </c>
      <c r="P19" s="32">
        <v>1</v>
      </c>
      <c r="Q19" s="32">
        <v>5</v>
      </c>
      <c r="R19" s="33">
        <f t="shared" si="2"/>
        <v>-0.1389330736185086</v>
      </c>
      <c r="S19" s="33"/>
      <c r="T19" s="33" t="str">
        <f t="shared" si="28"/>
        <v>more smaller.[jj*] [i*]</v>
      </c>
      <c r="U19" s="32">
        <v>0</v>
      </c>
      <c r="V19" s="32"/>
      <c r="W19" s="33">
        <f t="shared" si="3"/>
        <v>-1</v>
      </c>
      <c r="X19" s="33"/>
      <c r="Y19" s="31" t="str">
        <f t="shared" si="4"/>
        <v>less smaller.[jj*] PUNC</v>
      </c>
      <c r="Z19" s="32">
        <v>0</v>
      </c>
      <c r="AA19" s="32"/>
      <c r="AB19" s="33">
        <f t="shared" si="5"/>
        <v>-1</v>
      </c>
      <c r="AC19" s="33"/>
      <c r="AD19" s="31" t="str">
        <f t="shared" si="18"/>
        <v>less smaller.[jj*] [i*]</v>
      </c>
      <c r="AE19" s="32">
        <v>0</v>
      </c>
      <c r="AF19" s="32"/>
      <c r="AG19" s="33">
        <f t="shared" si="6"/>
        <v>-1</v>
      </c>
      <c r="AH19" s="33"/>
      <c r="AI19" s="31" t="str">
        <f t="shared" si="19"/>
        <v>smaller.[jj*] enough</v>
      </c>
      <c r="AJ19" s="32">
        <v>1</v>
      </c>
      <c r="AK19" s="32"/>
      <c r="AL19" s="33">
        <f t="shared" si="7"/>
        <v>-0.15060080498436418</v>
      </c>
      <c r="AM19" s="33"/>
      <c r="AN19" s="31" t="str">
        <f t="shared" si="20"/>
        <v>that.[r*] smaller.[jj*] PUNC</v>
      </c>
      <c r="AO19" s="32">
        <v>0</v>
      </c>
      <c r="AP19" s="32">
        <v>2</v>
      </c>
      <c r="AQ19" s="33">
        <f t="shared" si="8"/>
        <v>-1</v>
      </c>
      <c r="AR19" s="33"/>
      <c r="AS19" s="31" t="str">
        <f t="shared" si="21"/>
        <v>that.[r*] smaller.[jj*] [i*]</v>
      </c>
      <c r="AT19" s="32">
        <v>0</v>
      </c>
      <c r="AU19" s="32"/>
      <c r="AV19" s="33">
        <f t="shared" si="9"/>
        <v>-1</v>
      </c>
      <c r="AW19" s="33"/>
      <c r="AX19" s="31" t="str">
        <f t="shared" si="22"/>
        <v>-a little smaller.[jj*] PUNC</v>
      </c>
      <c r="AY19" s="32">
        <v>0</v>
      </c>
      <c r="AZ19" s="32">
        <v>1</v>
      </c>
      <c r="BA19" s="33">
        <f t="shared" si="10"/>
        <v>-1</v>
      </c>
      <c r="BB19" s="33"/>
      <c r="BC19" s="31" t="str">
        <f t="shared" si="23"/>
        <v>-a little.[r*] smaller.[jj*] [i*]</v>
      </c>
      <c r="BD19" s="32">
        <v>0</v>
      </c>
      <c r="BE19" s="32"/>
      <c r="BF19" s="33">
        <f t="shared" si="11"/>
        <v>-1</v>
      </c>
      <c r="BG19" s="33"/>
      <c r="BH19" s="31" t="str">
        <f t="shared" si="24"/>
        <v>no smaller.[jj*] PUNC</v>
      </c>
      <c r="BI19" s="32">
        <v>5</v>
      </c>
      <c r="BJ19" s="32"/>
      <c r="BK19" s="33">
        <f t="shared" si="12"/>
        <v>-4.5781768874326688E-2</v>
      </c>
      <c r="BL19" s="33"/>
      <c r="BM19" s="31" t="str">
        <f t="shared" si="25"/>
        <v>no smaller.[jj*] [i*]</v>
      </c>
      <c r="BN19" s="32">
        <v>1</v>
      </c>
      <c r="BO19" s="32"/>
      <c r="BP19" s="33">
        <f t="shared" si="13"/>
        <v>-3.7442391330398353E-2</v>
      </c>
      <c r="BQ19" s="33"/>
      <c r="BR19" s="31" t="str">
        <f t="shared" si="26"/>
        <v>any smaller.[jj*] PUNC</v>
      </c>
      <c r="BS19" s="32">
        <v>43</v>
      </c>
      <c r="BT19" s="32">
        <v>1</v>
      </c>
      <c r="BU19" s="33">
        <f t="shared" si="14"/>
        <v>0.10088552040834599</v>
      </c>
      <c r="BV19" s="33"/>
      <c r="BW19" s="31" t="str">
        <f t="shared" si="27"/>
        <v>any smaller.[jj*] [i*]</v>
      </c>
      <c r="BX19" s="32">
        <v>5</v>
      </c>
      <c r="BY19" s="32"/>
      <c r="BZ19" s="33">
        <f t="shared" si="15"/>
        <v>6.63479073986767E-2</v>
      </c>
      <c r="CA19" s="33"/>
    </row>
    <row r="20" spans="1:79" x14ac:dyDescent="0.2">
      <c r="A20" s="31" t="s">
        <v>301</v>
      </c>
      <c r="B20" s="32">
        <v>1111759</v>
      </c>
      <c r="C20" s="32">
        <v>217085</v>
      </c>
      <c r="D20" s="32">
        <v>94633</v>
      </c>
      <c r="E20" s="35" t="s">
        <v>302</v>
      </c>
      <c r="F20" s="31">
        <v>2701</v>
      </c>
      <c r="G20" s="32">
        <v>8</v>
      </c>
      <c r="H20" s="33">
        <f t="shared" si="0"/>
        <v>0.20575575578412034</v>
      </c>
      <c r="I20" s="33"/>
      <c r="J20" s="33" t="str">
        <f t="shared" si="16"/>
        <v>-very much better.[jj*] [i*]</v>
      </c>
      <c r="K20" s="31">
        <v>1368</v>
      </c>
      <c r="L20" s="32"/>
      <c r="M20" s="33">
        <f t="shared" si="1"/>
        <v>0.206499221710226</v>
      </c>
      <c r="N20" s="33"/>
      <c r="O20" s="33" t="str">
        <f t="shared" si="17"/>
        <v>more better.[jj*] PUNC</v>
      </c>
      <c r="P20" s="32">
        <v>11</v>
      </c>
      <c r="Q20" s="32">
        <v>2</v>
      </c>
      <c r="R20" s="33">
        <f t="shared" si="2"/>
        <v>-0.20770775092922344</v>
      </c>
      <c r="S20" s="33"/>
      <c r="T20" s="33" t="str">
        <f t="shared" si="28"/>
        <v>more better.[jj*] [i*]</v>
      </c>
      <c r="U20" s="32">
        <v>2</v>
      </c>
      <c r="V20" s="32"/>
      <c r="W20" s="33">
        <f t="shared" si="3"/>
        <v>-0.23368368366048181</v>
      </c>
      <c r="X20" s="33"/>
      <c r="Y20" s="31" t="str">
        <f t="shared" si="4"/>
        <v>less better.[jj*] PUNC</v>
      </c>
      <c r="Z20" s="32">
        <v>0</v>
      </c>
      <c r="AA20" s="32"/>
      <c r="AB20" s="33">
        <f t="shared" si="5"/>
        <v>-1</v>
      </c>
      <c r="AC20" s="33"/>
      <c r="AD20" s="31" t="str">
        <f t="shared" si="18"/>
        <v>less better.[jj*] [i*]</v>
      </c>
      <c r="AE20" s="32">
        <v>0</v>
      </c>
      <c r="AF20" s="32"/>
      <c r="AG20" s="33">
        <f t="shared" si="6"/>
        <v>-1</v>
      </c>
      <c r="AH20" s="33"/>
      <c r="AI20" s="31" t="str">
        <f t="shared" si="19"/>
        <v>better.[jj*] enough</v>
      </c>
      <c r="AJ20" s="32">
        <v>0</v>
      </c>
      <c r="AK20" s="32">
        <v>1</v>
      </c>
      <c r="AL20" s="33">
        <f t="shared" si="7"/>
        <v>-1</v>
      </c>
      <c r="AM20" s="33"/>
      <c r="AN20" s="31" t="str">
        <f t="shared" si="20"/>
        <v>that.[r*] better.[jj*] PUNC</v>
      </c>
      <c r="AO20" s="32">
        <v>0</v>
      </c>
      <c r="AP20" s="32">
        <v>122</v>
      </c>
      <c r="AQ20" s="33">
        <f t="shared" si="8"/>
        <v>-1</v>
      </c>
      <c r="AR20" s="33"/>
      <c r="AS20" s="31" t="str">
        <f t="shared" si="21"/>
        <v>that.[r*] better.[jj*] [i*]</v>
      </c>
      <c r="AT20" s="32">
        <v>0</v>
      </c>
      <c r="AU20" s="32"/>
      <c r="AV20" s="33">
        <f t="shared" si="9"/>
        <v>-1</v>
      </c>
      <c r="AW20" s="33"/>
      <c r="AX20" s="31" t="str">
        <f t="shared" si="22"/>
        <v>-a little better.[jj*] PUNC</v>
      </c>
      <c r="AY20" s="32">
        <v>26</v>
      </c>
      <c r="AZ20" s="32">
        <v>1</v>
      </c>
      <c r="BA20" s="33">
        <f t="shared" si="10"/>
        <v>-6.6554156791646557E-2</v>
      </c>
      <c r="BB20" s="33"/>
      <c r="BC20" s="31" t="str">
        <f t="shared" si="23"/>
        <v>-a little.[r*] better.[jj*] [i*]</v>
      </c>
      <c r="BD20" s="32">
        <v>14</v>
      </c>
      <c r="BE20" s="32">
        <v>2</v>
      </c>
      <c r="BF20" s="33">
        <f t="shared" si="11"/>
        <v>-5.2597069362698812E-2</v>
      </c>
      <c r="BG20" s="33"/>
      <c r="BH20" s="31" t="str">
        <f t="shared" si="24"/>
        <v>no better.[jj*] PUNC</v>
      </c>
      <c r="BI20" s="32">
        <v>616</v>
      </c>
      <c r="BJ20" s="32">
        <v>3</v>
      </c>
      <c r="BK20" s="33">
        <f t="shared" si="12"/>
        <v>4.2882470370191897E-2</v>
      </c>
      <c r="BL20" s="33"/>
      <c r="BM20" s="31" t="str">
        <f t="shared" si="25"/>
        <v>no better.[jj*] [i*]</v>
      </c>
      <c r="BN20" s="32">
        <v>205</v>
      </c>
      <c r="BO20" s="32"/>
      <c r="BP20" s="33">
        <f t="shared" si="13"/>
        <v>2.2293479744752917E-2</v>
      </c>
      <c r="BQ20" s="33"/>
      <c r="BR20" s="31" t="str">
        <f t="shared" si="26"/>
        <v>any better.[jj*] PUNC</v>
      </c>
      <c r="BS20" s="32">
        <v>3205</v>
      </c>
      <c r="BT20" s="32">
        <v>5</v>
      </c>
      <c r="BU20" s="33">
        <f t="shared" si="14"/>
        <v>0.21318036460518269</v>
      </c>
      <c r="BV20" s="33"/>
      <c r="BW20" s="31" t="str">
        <f t="shared" si="27"/>
        <v>any better.[jj*] [i*]</v>
      </c>
      <c r="BX20" s="32">
        <v>466</v>
      </c>
      <c r="BY20" s="32"/>
      <c r="BZ20" s="33">
        <f t="shared" si="15"/>
        <v>0.10969151879970282</v>
      </c>
      <c r="CA20" s="33"/>
    </row>
    <row r="21" spans="1:79" x14ac:dyDescent="0.2">
      <c r="A21" s="31" t="s">
        <v>26</v>
      </c>
      <c r="B21" s="32">
        <v>21324</v>
      </c>
      <c r="C21" s="32">
        <v>1556</v>
      </c>
      <c r="D21" s="32">
        <v>4238</v>
      </c>
      <c r="E21" s="31" t="s">
        <v>227</v>
      </c>
      <c r="F21" s="32">
        <v>298</v>
      </c>
      <c r="G21" s="32"/>
      <c r="H21" s="33">
        <f t="shared" si="0"/>
        <v>0.35748466689303998</v>
      </c>
      <c r="I21" s="33"/>
      <c r="J21" s="33" t="str">
        <f t="shared" si="16"/>
        <v>-very much harder.[jj*] [i*]</v>
      </c>
      <c r="K21" s="32">
        <v>431</v>
      </c>
      <c r="L21" s="32"/>
      <c r="M21" s="33">
        <f t="shared" si="1"/>
        <v>0.32330732127090411</v>
      </c>
      <c r="N21" s="33"/>
      <c r="O21" s="33" t="str">
        <f t="shared" si="17"/>
        <v>more harder.[jj*] PUNC</v>
      </c>
      <c r="P21" s="32">
        <v>1</v>
      </c>
      <c r="Q21" s="32"/>
      <c r="R21" s="33">
        <f t="shared" si="2"/>
        <v>-6.111339989255167E-2</v>
      </c>
      <c r="S21" s="33"/>
      <c r="T21" s="33" t="str">
        <f t="shared" si="28"/>
        <v>more harder.[jj*] [i*]</v>
      </c>
      <c r="U21" s="32">
        <v>3</v>
      </c>
      <c r="V21" s="32"/>
      <c r="W21" s="33">
        <f t="shared" si="3"/>
        <v>-5.9610444160245683E-2</v>
      </c>
      <c r="X21" s="33"/>
      <c r="Y21" s="31" t="str">
        <f t="shared" si="4"/>
        <v>less harder.[jj*] PUNC</v>
      </c>
      <c r="Z21" s="32">
        <v>0</v>
      </c>
      <c r="AA21" s="32"/>
      <c r="AB21" s="33">
        <f t="shared" si="5"/>
        <v>-1</v>
      </c>
      <c r="AC21" s="33"/>
      <c r="AD21" s="31" t="str">
        <f t="shared" si="18"/>
        <v>less harder.[jj*] [i*]</v>
      </c>
      <c r="AE21" s="32">
        <v>0</v>
      </c>
      <c r="AF21" s="32"/>
      <c r="AG21" s="33">
        <f t="shared" si="6"/>
        <v>-1</v>
      </c>
      <c r="AH21" s="33"/>
      <c r="AI21" s="31" t="str">
        <f t="shared" si="19"/>
        <v>harder.[jj*] enough</v>
      </c>
      <c r="AJ21" s="32">
        <v>0</v>
      </c>
      <c r="AK21" s="32"/>
      <c r="AL21" s="33">
        <f t="shared" si="7"/>
        <v>-1</v>
      </c>
      <c r="AM21" s="33"/>
      <c r="AN21" s="31" t="str">
        <f t="shared" si="20"/>
        <v>that.[r*] harder.[jj*] PUNC</v>
      </c>
      <c r="AO21" s="32">
        <v>0</v>
      </c>
      <c r="AP21" s="32">
        <v>1</v>
      </c>
      <c r="AQ21" s="33">
        <f t="shared" si="8"/>
        <v>-1</v>
      </c>
      <c r="AR21" s="33"/>
      <c r="AS21" s="31" t="str">
        <f t="shared" si="21"/>
        <v>that.[r*] harder.[jj*] [i*]</v>
      </c>
      <c r="AT21" s="32">
        <v>0</v>
      </c>
      <c r="AU21" s="32"/>
      <c r="AV21" s="33">
        <f t="shared" si="9"/>
        <v>-1</v>
      </c>
      <c r="AW21" s="33"/>
      <c r="AX21" s="31" t="str">
        <f t="shared" si="22"/>
        <v>-a little harder.[jj*] PUNC</v>
      </c>
      <c r="AY21" s="32">
        <v>0</v>
      </c>
      <c r="AZ21" s="32"/>
      <c r="BA21" s="33">
        <f t="shared" si="10"/>
        <v>-1</v>
      </c>
      <c r="BB21" s="33"/>
      <c r="BC21" s="31" t="str">
        <f t="shared" si="23"/>
        <v>-a little.[r*] harder.[jj*] [i*]</v>
      </c>
      <c r="BD21" s="32">
        <v>0</v>
      </c>
      <c r="BE21" s="32">
        <v>1</v>
      </c>
      <c r="BF21" s="33">
        <f t="shared" si="11"/>
        <v>-1</v>
      </c>
      <c r="BG21" s="33"/>
      <c r="BH21" s="31" t="str">
        <f t="shared" si="24"/>
        <v>no harder.[jj*] PUNC</v>
      </c>
      <c r="BI21" s="32">
        <v>4</v>
      </c>
      <c r="BJ21" s="32">
        <v>2</v>
      </c>
      <c r="BK21" s="33">
        <f t="shared" si="12"/>
        <v>2.6606289219099376E-2</v>
      </c>
      <c r="BL21" s="33"/>
      <c r="BM21" s="31" t="str">
        <f t="shared" si="25"/>
        <v>no harder.[jj*] [i*]</v>
      </c>
      <c r="BN21" s="32">
        <v>6</v>
      </c>
      <c r="BO21" s="32"/>
      <c r="BP21" s="33">
        <f t="shared" si="13"/>
        <v>-4.3278968618472432E-3</v>
      </c>
      <c r="BQ21" s="33"/>
      <c r="BR21" s="31" t="str">
        <f t="shared" si="26"/>
        <v>any harder.[jj*] PUNC</v>
      </c>
      <c r="BS21" s="32">
        <v>99</v>
      </c>
      <c r="BT21" s="32">
        <v>1</v>
      </c>
      <c r="BU21" s="33">
        <f t="shared" si="14"/>
        <v>0.25778512665354292</v>
      </c>
      <c r="BV21" s="33"/>
      <c r="BW21" s="31" t="str">
        <f t="shared" si="27"/>
        <v>any harder.[jj*] [i*]</v>
      </c>
      <c r="BX21" s="32">
        <v>41</v>
      </c>
      <c r="BY21" s="32"/>
      <c r="BZ21" s="33">
        <f t="shared" si="15"/>
        <v>0.13371395083485829</v>
      </c>
      <c r="CA21" s="33"/>
    </row>
    <row r="22" spans="1:79" x14ac:dyDescent="0.2">
      <c r="A22" s="31" t="s">
        <v>25</v>
      </c>
      <c r="B22" s="32">
        <v>14119</v>
      </c>
      <c r="C22" s="32">
        <v>2167</v>
      </c>
      <c r="D22" s="32">
        <v>405</v>
      </c>
      <c r="E22" s="31" t="s">
        <v>228</v>
      </c>
      <c r="F22" s="32">
        <v>176</v>
      </c>
      <c r="G22" s="32"/>
      <c r="H22" s="33">
        <f t="shared" si="0"/>
        <v>0.29023653294398422</v>
      </c>
      <c r="I22" s="33"/>
      <c r="J22" s="33" t="str">
        <f t="shared" si="16"/>
        <v>-very much faster.[jj*] [i*]</v>
      </c>
      <c r="K22" s="32">
        <v>51</v>
      </c>
      <c r="L22" s="32"/>
      <c r="M22" s="33">
        <f t="shared" si="1"/>
        <v>0.29494345982632114</v>
      </c>
      <c r="N22" s="33"/>
      <c r="O22" s="33" t="str">
        <f t="shared" si="17"/>
        <v>more faster.[jj*] PUNC</v>
      </c>
      <c r="P22" s="32">
        <v>1</v>
      </c>
      <c r="Q22" s="32">
        <v>1</v>
      </c>
      <c r="R22" s="33">
        <f t="shared" si="2"/>
        <v>-7.7094432262137219E-2</v>
      </c>
      <c r="S22" s="33"/>
      <c r="T22" s="33" t="str">
        <f t="shared" si="28"/>
        <v>more faster.[jj*] [i*]</v>
      </c>
      <c r="U22" s="32">
        <v>0</v>
      </c>
      <c r="V22" s="32"/>
      <c r="W22" s="33">
        <f t="shared" si="3"/>
        <v>-1</v>
      </c>
      <c r="X22" s="33"/>
      <c r="Y22" s="31" t="str">
        <f t="shared" si="4"/>
        <v>less faster.[jj*] PUNC</v>
      </c>
      <c r="Z22" s="32">
        <v>0</v>
      </c>
      <c r="AA22" s="32"/>
      <c r="AB22" s="33">
        <f t="shared" si="5"/>
        <v>-1</v>
      </c>
      <c r="AC22" s="33"/>
      <c r="AD22" s="31" t="str">
        <f t="shared" si="18"/>
        <v>less faster.[jj*] [i*]</v>
      </c>
      <c r="AE22" s="32">
        <v>0</v>
      </c>
      <c r="AF22" s="32"/>
      <c r="AG22" s="33">
        <f t="shared" si="6"/>
        <v>-1</v>
      </c>
      <c r="AH22" s="33"/>
      <c r="AI22" s="31" t="str">
        <f t="shared" si="19"/>
        <v>faster.[jj*] enough</v>
      </c>
      <c r="AJ22" s="32">
        <v>0</v>
      </c>
      <c r="AK22" s="32"/>
      <c r="AL22" s="33">
        <f t="shared" si="7"/>
        <v>-1</v>
      </c>
      <c r="AM22" s="33"/>
      <c r="AN22" s="31" t="str">
        <f t="shared" si="20"/>
        <v>that.[r*] faster.[jj*] PUNC</v>
      </c>
      <c r="AO22" s="32">
        <v>0</v>
      </c>
      <c r="AP22" s="32">
        <v>1</v>
      </c>
      <c r="AQ22" s="33">
        <f t="shared" si="8"/>
        <v>-1</v>
      </c>
      <c r="AR22" s="33"/>
      <c r="AS22" s="31" t="str">
        <f t="shared" si="21"/>
        <v>that.[r*] faster.[jj*] [i*]</v>
      </c>
      <c r="AT22" s="32">
        <v>0</v>
      </c>
      <c r="AU22" s="32"/>
      <c r="AV22" s="33">
        <f t="shared" si="9"/>
        <v>-1</v>
      </c>
      <c r="AW22" s="33"/>
      <c r="AX22" s="31" t="str">
        <f t="shared" si="22"/>
        <v>-a little faster.[jj*] PUNC</v>
      </c>
      <c r="AY22" s="32">
        <v>0</v>
      </c>
      <c r="AZ22" s="32"/>
      <c r="BA22" s="33">
        <f t="shared" si="10"/>
        <v>-1</v>
      </c>
      <c r="BB22" s="33"/>
      <c r="BC22" s="31" t="str">
        <f t="shared" si="23"/>
        <v>-a little.[r*] faster.[jj*] [i*]</v>
      </c>
      <c r="BD22" s="32">
        <v>0</v>
      </c>
      <c r="BE22" s="32"/>
      <c r="BF22" s="33">
        <f t="shared" si="11"/>
        <v>-1</v>
      </c>
      <c r="BG22" s="33"/>
      <c r="BH22" s="31" t="str">
        <f t="shared" si="24"/>
        <v>no faster.[jj*] PUNC</v>
      </c>
      <c r="BI22" s="32">
        <v>1</v>
      </c>
      <c r="BJ22" s="32">
        <v>9</v>
      </c>
      <c r="BK22" s="33">
        <f t="shared" si="12"/>
        <v>-5.8040578922187759E-2</v>
      </c>
      <c r="BL22" s="33"/>
      <c r="BM22" s="31" t="str">
        <f t="shared" si="25"/>
        <v>no faster.[jj*] [i*]</v>
      </c>
      <c r="BN22" s="32">
        <v>1</v>
      </c>
      <c r="BO22" s="32">
        <v>3</v>
      </c>
      <c r="BP22" s="33">
        <f t="shared" si="13"/>
        <v>2.2881918465210434E-2</v>
      </c>
      <c r="BQ22" s="33"/>
      <c r="BR22" s="31" t="str">
        <f t="shared" si="26"/>
        <v>any faster.[jj*] PUNC</v>
      </c>
      <c r="BS22" s="32">
        <v>371</v>
      </c>
      <c r="BT22" s="32"/>
      <c r="BU22" s="33">
        <f t="shared" si="14"/>
        <v>0.34761745684624273</v>
      </c>
      <c r="BV22" s="33"/>
      <c r="BW22" s="31" t="str">
        <f t="shared" si="27"/>
        <v>any faster.[jj*] [i*]</v>
      </c>
      <c r="BX22" s="32">
        <v>18</v>
      </c>
      <c r="BY22" s="32"/>
      <c r="BZ22" s="33">
        <f t="shared" si="15"/>
        <v>0.21303125704782716</v>
      </c>
      <c r="CA22" s="33"/>
    </row>
    <row r="23" spans="1:79" s="26" customFormat="1" x14ac:dyDescent="0.2">
      <c r="A23" s="23" t="s">
        <v>321</v>
      </c>
      <c r="B23" s="24">
        <f>1695603*0.97</f>
        <v>1644734.91</v>
      </c>
      <c r="C23" s="24">
        <f>251609*0.83</f>
        <v>208835.47</v>
      </c>
      <c r="D23" s="24">
        <f>94426*0.85</f>
        <v>80262.099999999991</v>
      </c>
      <c r="E23" s="27" t="s">
        <v>323</v>
      </c>
      <c r="F23" s="24">
        <f>15399*0.91</f>
        <v>14013.09</v>
      </c>
      <c r="G23" s="24">
        <f>15399-F23</f>
        <v>1385.9099999999999</v>
      </c>
      <c r="H23" s="25">
        <f t="shared" si="0"/>
        <v>0.38680683457948961</v>
      </c>
      <c r="I23" s="25"/>
      <c r="J23" s="25" t="str">
        <f t="shared" si="16"/>
        <v>-very much JJR.[jj*] [i*]</v>
      </c>
      <c r="K23" s="24">
        <f>6781*0.85</f>
        <v>5763.8499999999995</v>
      </c>
      <c r="L23" s="24">
        <f>6781-K23</f>
        <v>1017.1500000000005</v>
      </c>
      <c r="M23" s="25">
        <f t="shared" si="1"/>
        <v>0.36395312546643138</v>
      </c>
      <c r="N23" s="25"/>
      <c r="O23" s="25" t="str">
        <f t="shared" si="17"/>
        <v>more JJR.[jj*] PUNC</v>
      </c>
      <c r="P23" s="24">
        <f>191*0.87</f>
        <v>166.17</v>
      </c>
      <c r="Q23" s="24">
        <f>191-P23</f>
        <v>24.830000000000013</v>
      </c>
      <c r="R23" s="25">
        <f t="shared" si="2"/>
        <v>-6.7447195537423774E-2</v>
      </c>
      <c r="S23" s="25"/>
      <c r="T23" s="25" t="str">
        <f t="shared" si="28"/>
        <v>more JJR.[jj*] [i*]</v>
      </c>
      <c r="U23" s="24">
        <v>82</v>
      </c>
      <c r="V23" s="24">
        <v>2</v>
      </c>
      <c r="W23" s="25">
        <f t="shared" si="3"/>
        <v>-4.9211604175106761E-2</v>
      </c>
      <c r="X23" s="25"/>
      <c r="Y23" s="23" t="str">
        <f t="shared" si="4"/>
        <v>less JJR.[jj*] PUNC</v>
      </c>
      <c r="Z23" s="24">
        <v>9</v>
      </c>
      <c r="AA23" s="24">
        <v>3</v>
      </c>
      <c r="AB23" s="25">
        <f t="shared" si="5"/>
        <v>-0.11121457776026954</v>
      </c>
      <c r="AC23" s="25"/>
      <c r="AD23" s="23" t="str">
        <f t="shared" si="18"/>
        <v>less JJR.[jj*] [i*]</v>
      </c>
      <c r="AE23" s="24">
        <v>9</v>
      </c>
      <c r="AF23" s="24"/>
      <c r="AG23" s="25">
        <f t="shared" si="6"/>
        <v>-5.9606128143504786E-2</v>
      </c>
      <c r="AH23" s="25"/>
      <c r="AI23" s="23" t="str">
        <f t="shared" si="19"/>
        <v>JJR.[jj*] enough</v>
      </c>
      <c r="AJ23" s="24">
        <v>20</v>
      </c>
      <c r="AK23" s="24">
        <v>66</v>
      </c>
      <c r="AL23" s="25">
        <f t="shared" si="7"/>
        <v>-0.19635496308732522</v>
      </c>
      <c r="AM23" s="25"/>
      <c r="AN23" s="23" t="str">
        <f t="shared" si="20"/>
        <v>that.[r*] JJR.[jj*] PUNC</v>
      </c>
      <c r="AO23" s="24">
        <v>0</v>
      </c>
      <c r="AP23" s="24">
        <v>272</v>
      </c>
      <c r="AQ23" s="25">
        <f t="shared" si="8"/>
        <v>-1</v>
      </c>
      <c r="AR23" s="25"/>
      <c r="AS23" s="23" t="str">
        <f t="shared" si="21"/>
        <v>that.[r*] JJR.[jj*] [i*]</v>
      </c>
      <c r="AT23" s="24">
        <v>0</v>
      </c>
      <c r="AU23" s="24"/>
      <c r="AV23" s="25">
        <f t="shared" si="9"/>
        <v>-1</v>
      </c>
      <c r="AW23" s="25"/>
      <c r="AX23" s="23" t="str">
        <f t="shared" si="22"/>
        <v>-a little JJR.[jj*] PUNC</v>
      </c>
      <c r="AY23" s="24">
        <v>26</v>
      </c>
      <c r="AZ23" s="24">
        <v>90</v>
      </c>
      <c r="BA23" s="25">
        <f t="shared" si="10"/>
        <v>-6.4336264467247814E-2</v>
      </c>
      <c r="BB23" s="25"/>
      <c r="BC23" s="23" t="str">
        <f t="shared" si="23"/>
        <v>-a little.[r*] JJR.[jj*] [i*]</v>
      </c>
      <c r="BD23" s="24">
        <v>22</v>
      </c>
      <c r="BE23" s="24">
        <v>14</v>
      </c>
      <c r="BF23" s="25">
        <f t="shared" si="11"/>
        <v>-1.8975459492566203E-2</v>
      </c>
      <c r="BG23" s="25"/>
      <c r="BH23" s="23" t="str">
        <f t="shared" si="24"/>
        <v>no JJR.[jj*] PUNC</v>
      </c>
      <c r="BI23" s="24">
        <f>1381*0.72</f>
        <v>994.31999999999994</v>
      </c>
      <c r="BJ23" s="24">
        <f>1381-BI23</f>
        <v>386.68000000000006</v>
      </c>
      <c r="BK23" s="25">
        <f t="shared" si="12"/>
        <v>8.1806330346314127E-2</v>
      </c>
      <c r="BL23" s="25"/>
      <c r="BM23" s="23" t="str">
        <f t="shared" si="25"/>
        <v>no JJR.[jj*] [i*]</v>
      </c>
      <c r="BN23" s="24">
        <f>1151*0.47</f>
        <v>540.96999999999991</v>
      </c>
      <c r="BO23" s="24">
        <f>1151-BN23</f>
        <v>610.03000000000009</v>
      </c>
      <c r="BP23" s="25">
        <f t="shared" si="13"/>
        <v>0.10243705035637667</v>
      </c>
      <c r="BQ23" s="25"/>
      <c r="BR23" s="23" t="str">
        <f t="shared" si="26"/>
        <v>any JJR.[jj*] PUNC</v>
      </c>
      <c r="BS23" s="24">
        <f>1892*0.52</f>
        <v>983.84</v>
      </c>
      <c r="BT23" s="24">
        <f>1892-BS23</f>
        <v>908.16</v>
      </c>
      <c r="BU23" s="25">
        <f t="shared" si="14"/>
        <v>0.11241707381433927</v>
      </c>
      <c r="BV23" s="25"/>
      <c r="BW23" s="23" t="str">
        <f t="shared" si="27"/>
        <v>any JJR.[jj*] [i*]</v>
      </c>
      <c r="BX23" s="24">
        <f>1892*0.56</f>
        <v>1059.5200000000002</v>
      </c>
      <c r="BY23" s="24">
        <f>1892-BX23</f>
        <v>832.47999999999979</v>
      </c>
      <c r="BZ23" s="25">
        <f t="shared" si="15"/>
        <v>0.18789994941639016</v>
      </c>
      <c r="CA23" s="25"/>
    </row>
    <row r="24" spans="1:79" x14ac:dyDescent="0.2">
      <c r="A24" s="11" t="s">
        <v>38</v>
      </c>
      <c r="B24" s="12">
        <v>41176</v>
      </c>
      <c r="C24" s="12">
        <v>1708</v>
      </c>
      <c r="D24" s="12">
        <v>1532</v>
      </c>
      <c r="E24" s="11" t="s">
        <v>229</v>
      </c>
      <c r="F24" s="12">
        <v>0</v>
      </c>
      <c r="G24" s="12"/>
      <c r="H24" s="13">
        <f t="shared" si="0"/>
        <v>-1</v>
      </c>
      <c r="I24" s="1">
        <f>AVERAGE(H24:H29)</f>
        <v>-0.46019607042719368</v>
      </c>
      <c r="J24" s="13" t="str">
        <f t="shared" si="16"/>
        <v>-very much separate.[jj*] [i*]</v>
      </c>
      <c r="K24" s="12">
        <v>0</v>
      </c>
      <c r="L24" s="12">
        <v>1</v>
      </c>
      <c r="M24" s="13">
        <f t="shared" si="1"/>
        <v>-1</v>
      </c>
      <c r="N24" s="1">
        <f>AVERAGE(M24:M29)</f>
        <v>-4.4252308898560459E-2</v>
      </c>
      <c r="O24" s="13" t="str">
        <f t="shared" si="17"/>
        <v>more separate.[jj*] PUNC</v>
      </c>
      <c r="P24" s="12">
        <v>7</v>
      </c>
      <c r="Q24" s="12">
        <v>1</v>
      </c>
      <c r="R24" s="13">
        <f t="shared" si="2"/>
        <v>3.1206196485470003E-2</v>
      </c>
      <c r="S24" s="1">
        <f>AVERAGE(R24:R29)</f>
        <v>5.4975596464692432E-2</v>
      </c>
      <c r="T24" s="13" t="str">
        <f t="shared" si="28"/>
        <v>more separate.[jj*] [i*]</v>
      </c>
      <c r="U24" s="12">
        <v>8</v>
      </c>
      <c r="V24" s="12"/>
      <c r="W24" s="13">
        <f t="shared" si="3"/>
        <v>4.4422867153265939E-2</v>
      </c>
      <c r="X24" s="1">
        <f>AVERAGE(W24:W29)</f>
        <v>5.5672478225281631E-2</v>
      </c>
      <c r="Y24" s="11" t="str">
        <f t="shared" si="4"/>
        <v>less separate.[jj*] PUNC</v>
      </c>
      <c r="Z24" s="12">
        <v>0</v>
      </c>
      <c r="AA24" s="12"/>
      <c r="AB24" s="13">
        <f t="shared" si="5"/>
        <v>-1</v>
      </c>
      <c r="AC24" s="1">
        <f>AVERAGE(AB24:AB29)</f>
        <v>-0.11752470143144046</v>
      </c>
      <c r="AD24" s="11" t="str">
        <f t="shared" si="18"/>
        <v>less separate.[jj*] [i*]</v>
      </c>
      <c r="AE24" s="12">
        <v>0</v>
      </c>
      <c r="AF24" s="12"/>
      <c r="AG24" s="13">
        <f t="shared" si="6"/>
        <v>-1</v>
      </c>
      <c r="AH24" s="1">
        <f>AVERAGE(AG24:AG29)</f>
        <v>-0.12419299441365052</v>
      </c>
      <c r="AI24" s="11" t="str">
        <f t="shared" si="19"/>
        <v>separate.[jj*] enough</v>
      </c>
      <c r="AJ24" s="12">
        <v>3</v>
      </c>
      <c r="AK24" s="12"/>
      <c r="AL24" s="13">
        <f t="shared" si="7"/>
        <v>-8.6159392273635199E-2</v>
      </c>
      <c r="AM24" s="1">
        <f>AVERAGE(AL24:AL29)</f>
        <v>-0.34881411814978042</v>
      </c>
      <c r="AN24" s="11" t="str">
        <f t="shared" si="20"/>
        <v>that.[r*] separate.[jj*] PUNC</v>
      </c>
      <c r="AO24" s="12">
        <v>0</v>
      </c>
      <c r="AP24" s="12">
        <v>2</v>
      </c>
      <c r="AQ24" s="13">
        <f t="shared" si="8"/>
        <v>-1</v>
      </c>
      <c r="AR24" s="1">
        <f>AVERAGE(AQ24:AQ29)</f>
        <v>-0.42452006047144208</v>
      </c>
      <c r="AS24" s="11" t="str">
        <f t="shared" si="21"/>
        <v>that.[r*] separate.[jj*] [i*]</v>
      </c>
      <c r="AT24" s="12">
        <v>0</v>
      </c>
      <c r="AU24" s="12"/>
      <c r="AV24" s="13">
        <f t="shared" si="9"/>
        <v>-1</v>
      </c>
      <c r="AW24" s="1">
        <f>AVERAGE(AV24:AV29)</f>
        <v>-0.81557698393985678</v>
      </c>
      <c r="AX24" s="11" t="str">
        <f t="shared" si="22"/>
        <v>-a little separate.[jj*] PUNC</v>
      </c>
      <c r="AY24" s="12">
        <v>0</v>
      </c>
      <c r="AZ24" s="12"/>
      <c r="BA24" s="13">
        <f t="shared" si="10"/>
        <v>-1</v>
      </c>
      <c r="BB24" s="1">
        <f>AVERAGE(BA24:BA29)</f>
        <v>-0.83424725408012679</v>
      </c>
      <c r="BC24" s="11" t="str">
        <f t="shared" si="23"/>
        <v>-a little.[r*] separate.[jj*] [i*]</v>
      </c>
      <c r="BD24" s="12">
        <v>0</v>
      </c>
      <c r="BE24" s="12"/>
      <c r="BF24" s="13">
        <f t="shared" si="11"/>
        <v>-1</v>
      </c>
      <c r="BG24" s="1">
        <f>AVERAGE(BF24:BF29)</f>
        <v>-0.47137088814775191</v>
      </c>
      <c r="BH24" s="11" t="str">
        <f t="shared" si="24"/>
        <v>no separate.[jj*] PUNC</v>
      </c>
      <c r="BI24" s="12">
        <v>0</v>
      </c>
      <c r="BJ24" s="12">
        <v>2</v>
      </c>
      <c r="BK24" s="13">
        <f t="shared" si="12"/>
        <v>-1</v>
      </c>
      <c r="BL24" s="1">
        <f>AVERAGE(BK24:BK29)</f>
        <v>-0.79650353813798125</v>
      </c>
      <c r="BM24" s="11" t="str">
        <f t="shared" si="25"/>
        <v>no separate.[jj*] [i*]</v>
      </c>
      <c r="BN24" s="12">
        <v>1</v>
      </c>
      <c r="BO24" s="12"/>
      <c r="BP24" s="13">
        <f t="shared" si="13"/>
        <v>-4.1309559055160934E-2</v>
      </c>
      <c r="BQ24" s="1">
        <f>AVERAGE(BP24:BP29)</f>
        <v>-0.46609507674350664</v>
      </c>
      <c r="BR24" s="11" t="str">
        <f t="shared" si="26"/>
        <v>any separate.[jj*] PUNC</v>
      </c>
      <c r="BS24" s="12">
        <v>0</v>
      </c>
      <c r="BT24" s="12"/>
      <c r="BU24" s="13">
        <f t="shared" si="14"/>
        <v>-1</v>
      </c>
      <c r="BV24" s="1">
        <f>AVERAGE(BU24:BU29)</f>
        <v>-0.62897049765771207</v>
      </c>
      <c r="BW24" s="11" t="str">
        <f t="shared" si="27"/>
        <v>any separate.[jj*] [i*]</v>
      </c>
      <c r="BX24" s="12">
        <v>0</v>
      </c>
      <c r="BY24" s="12"/>
      <c r="BZ24" s="13">
        <f t="shared" si="15"/>
        <v>-1</v>
      </c>
      <c r="CA24" s="1">
        <f>AVERAGE(BZ24:BZ29)</f>
        <v>-0.80035790604979518</v>
      </c>
    </row>
    <row r="25" spans="1:79" x14ac:dyDescent="0.2">
      <c r="A25" s="14" t="s">
        <v>239</v>
      </c>
      <c r="B25" s="12">
        <v>3088</v>
      </c>
      <c r="C25" s="12">
        <v>580</v>
      </c>
      <c r="D25" s="12">
        <v>1583</v>
      </c>
      <c r="E25" s="11" t="s">
        <v>230</v>
      </c>
      <c r="F25" s="12">
        <v>0</v>
      </c>
      <c r="G25" s="12"/>
      <c r="H25" s="13">
        <f t="shared" si="0"/>
        <v>-1</v>
      </c>
      <c r="I25" s="13"/>
      <c r="J25" s="13" t="str">
        <f t="shared" si="16"/>
        <v>-very much preferable.[jj*] [i*]</v>
      </c>
      <c r="K25" s="12">
        <v>22</v>
      </c>
      <c r="L25" s="12"/>
      <c r="M25" s="13">
        <f t="shared" si="1"/>
        <v>0.15590509742326902</v>
      </c>
      <c r="N25" s="13"/>
      <c r="O25" s="13" t="str">
        <f t="shared" si="17"/>
        <v>more preferable.[jj*] PUNC</v>
      </c>
      <c r="P25" s="12">
        <v>8</v>
      </c>
      <c r="Q25" s="12"/>
      <c r="R25" s="13">
        <f t="shared" si="2"/>
        <v>9.6512552299281296E-2</v>
      </c>
      <c r="S25" s="13"/>
      <c r="T25" s="13" t="str">
        <f t="shared" si="28"/>
        <v>more preferable.[jj*] [i*]</v>
      </c>
      <c r="U25" s="12">
        <v>14</v>
      </c>
      <c r="V25" s="12"/>
      <c r="W25" s="13">
        <f t="shared" si="3"/>
        <v>7.4926817278771887E-2</v>
      </c>
      <c r="X25" s="13"/>
      <c r="Y25" s="11" t="str">
        <f t="shared" si="4"/>
        <v>less preferable.[jj*] PUNC</v>
      </c>
      <c r="Z25" s="12">
        <v>2</v>
      </c>
      <c r="AA25" s="12"/>
      <c r="AB25" s="13">
        <f t="shared" si="5"/>
        <v>0.11588425240644289</v>
      </c>
      <c r="AC25" s="13"/>
      <c r="AD25" s="11" t="str">
        <f t="shared" si="18"/>
        <v>less preferable.[jj*] [i*]</v>
      </c>
      <c r="AE25" s="12">
        <v>2</v>
      </c>
      <c r="AF25" s="12"/>
      <c r="AG25" s="13">
        <f t="shared" si="6"/>
        <v>6.576451279286559E-2</v>
      </c>
      <c r="AH25" s="13"/>
      <c r="AI25" s="11" t="str">
        <f t="shared" si="19"/>
        <v>preferable.[jj*] enough</v>
      </c>
      <c r="AJ25" s="12">
        <v>0</v>
      </c>
      <c r="AK25" s="12"/>
      <c r="AL25" s="13">
        <f t="shared" si="7"/>
        <v>-1</v>
      </c>
      <c r="AM25" s="13"/>
      <c r="AN25" s="11" t="str">
        <f t="shared" si="20"/>
        <v>that.[r*] preferable.[jj*] PUNC</v>
      </c>
      <c r="AO25" s="12">
        <v>0</v>
      </c>
      <c r="AP25" s="12">
        <v>2</v>
      </c>
      <c r="AQ25" s="13">
        <f t="shared" si="8"/>
        <v>-1</v>
      </c>
      <c r="AR25" s="13"/>
      <c r="AS25" s="11" t="str">
        <f t="shared" si="21"/>
        <v>that.[r*] preferable.[jj*] [i*]</v>
      </c>
      <c r="AT25" s="12">
        <v>0</v>
      </c>
      <c r="AU25" s="12"/>
      <c r="AV25" s="13">
        <f t="shared" si="9"/>
        <v>-1</v>
      </c>
      <c r="AW25" s="13"/>
      <c r="AX25" s="11" t="str">
        <f t="shared" si="22"/>
        <v>-a little preferable.[jj*] PUNC</v>
      </c>
      <c r="AY25" s="12">
        <v>0</v>
      </c>
      <c r="AZ25" s="12"/>
      <c r="BA25" s="13">
        <f t="shared" si="10"/>
        <v>-1</v>
      </c>
      <c r="BB25" s="13"/>
      <c r="BC25" s="11" t="str">
        <f t="shared" si="23"/>
        <v>-a little.[r*] preferable.[jj*] [i*]</v>
      </c>
      <c r="BD25" s="12">
        <v>0</v>
      </c>
      <c r="BE25" s="12"/>
      <c r="BF25" s="13">
        <f t="shared" si="11"/>
        <v>-1</v>
      </c>
      <c r="BG25" s="13"/>
      <c r="BH25" s="11" t="str">
        <f t="shared" si="24"/>
        <v>no preferable.[jj*] PUNC</v>
      </c>
      <c r="BI25" s="12">
        <v>0</v>
      </c>
      <c r="BJ25" s="12"/>
      <c r="BK25" s="13">
        <f t="shared" si="12"/>
        <v>-1</v>
      </c>
      <c r="BL25" s="13"/>
      <c r="BM25" s="11" t="str">
        <f t="shared" si="25"/>
        <v>no preferable.[jj*] [i*]</v>
      </c>
      <c r="BN25" s="12">
        <v>0</v>
      </c>
      <c r="BO25" s="12"/>
      <c r="BP25" s="13">
        <f t="shared" si="13"/>
        <v>-1</v>
      </c>
      <c r="BQ25" s="13"/>
      <c r="BR25" s="11" t="str">
        <f t="shared" si="26"/>
        <v>any preferable.[jj*] PUNC</v>
      </c>
      <c r="BS25" s="12">
        <v>0</v>
      </c>
      <c r="BT25" s="12"/>
      <c r="BU25" s="13">
        <f t="shared" si="14"/>
        <v>-1</v>
      </c>
      <c r="BV25" s="13"/>
      <c r="BW25" s="11" t="str">
        <f t="shared" si="27"/>
        <v>any preferable.[jj*] [i*]</v>
      </c>
      <c r="BX25" s="12">
        <v>0</v>
      </c>
      <c r="BY25" s="12"/>
      <c r="BZ25" s="13">
        <f t="shared" si="15"/>
        <v>-1</v>
      </c>
      <c r="CA25" s="13"/>
    </row>
    <row r="26" spans="1:79" x14ac:dyDescent="0.2">
      <c r="A26" s="11" t="s">
        <v>35</v>
      </c>
      <c r="B26" s="12">
        <v>20596</v>
      </c>
      <c r="C26" s="12">
        <v>2572</v>
      </c>
      <c r="D26" s="12">
        <v>4420</v>
      </c>
      <c r="E26" s="11" t="s">
        <v>231</v>
      </c>
      <c r="F26" s="12">
        <v>1</v>
      </c>
      <c r="G26" s="12"/>
      <c r="H26" s="13">
        <f t="shared" si="0"/>
        <v>-3.9901334302278726E-2</v>
      </c>
      <c r="I26" s="13"/>
      <c r="J26" s="13" t="str">
        <f t="shared" si="16"/>
        <v>-very much superior.[jj*] [i*]</v>
      </c>
      <c r="K26" s="12">
        <v>34</v>
      </c>
      <c r="L26" s="12"/>
      <c r="M26" s="13">
        <f t="shared" si="1"/>
        <v>0.12546103326588262</v>
      </c>
      <c r="N26" s="13"/>
      <c r="O26" s="13" t="str">
        <f t="shared" si="17"/>
        <v>more superior.[jj*] PUNC</v>
      </c>
      <c r="P26" s="12">
        <v>3</v>
      </c>
      <c r="Q26" s="12"/>
      <c r="R26" s="13">
        <f t="shared" si="2"/>
        <v>-3.4166212459234277E-2</v>
      </c>
      <c r="S26" s="13"/>
      <c r="T26" s="13" t="str">
        <f t="shared" si="28"/>
        <v>more superior.[jj*] [i*]</v>
      </c>
      <c r="U26" s="12">
        <v>13</v>
      </c>
      <c r="V26" s="12"/>
      <c r="W26" s="13">
        <f t="shared" si="3"/>
        <v>1.4001413894053827E-2</v>
      </c>
      <c r="X26" s="13"/>
      <c r="Y26" s="11" t="str">
        <f t="shared" si="4"/>
        <v>less superior.[jj*] PUNC</v>
      </c>
      <c r="Z26" s="12">
        <v>4</v>
      </c>
      <c r="AA26" s="12"/>
      <c r="AB26" s="13">
        <f t="shared" si="5"/>
        <v>7.8865418393549866E-2</v>
      </c>
      <c r="AC26" s="13"/>
      <c r="AD26" s="11" t="str">
        <f t="shared" si="18"/>
        <v>less superior.[jj*] [i*]</v>
      </c>
      <c r="AE26" s="12">
        <v>1</v>
      </c>
      <c r="AF26" s="12"/>
      <c r="AG26" s="13">
        <f t="shared" si="6"/>
        <v>-1.9420119234898111E-2</v>
      </c>
      <c r="AH26" s="13"/>
      <c r="AI26" s="11" t="str">
        <f t="shared" si="19"/>
        <v>superior.[jj*] enough</v>
      </c>
      <c r="AJ26" s="12">
        <v>6</v>
      </c>
      <c r="AK26" s="12"/>
      <c r="AL26" s="13">
        <f t="shared" si="7"/>
        <v>-1.6118340832070581E-2</v>
      </c>
      <c r="AM26" s="13"/>
      <c r="AN26" s="11" t="str">
        <f t="shared" si="20"/>
        <v>that.[r*] superior.[jj*] PUNC</v>
      </c>
      <c r="AO26" s="12">
        <v>2</v>
      </c>
      <c r="AP26" s="12"/>
      <c r="AQ26" s="13">
        <f t="shared" si="8"/>
        <v>9.6463375181043545E-2</v>
      </c>
      <c r="AR26" s="13"/>
      <c r="AS26" s="11" t="str">
        <f t="shared" si="21"/>
        <v>that.[r*] superior.[jj*] [i*]</v>
      </c>
      <c r="AT26" s="12">
        <v>0</v>
      </c>
      <c r="AU26" s="12"/>
      <c r="AV26" s="13">
        <f t="shared" si="9"/>
        <v>-1</v>
      </c>
      <c r="AW26" s="13"/>
      <c r="AX26" s="11" t="str">
        <f t="shared" si="22"/>
        <v>-a little superior.[jj*] PUNC</v>
      </c>
      <c r="AY26" s="12">
        <v>0</v>
      </c>
      <c r="AZ26" s="12"/>
      <c r="BA26" s="13">
        <f t="shared" si="10"/>
        <v>-1</v>
      </c>
      <c r="BB26" s="13"/>
      <c r="BC26" s="11" t="str">
        <f t="shared" si="23"/>
        <v>-a little.[r*] superior.[jj*] [i*]</v>
      </c>
      <c r="BD26" s="12">
        <v>1</v>
      </c>
      <c r="BE26" s="12"/>
      <c r="BF26" s="13">
        <f t="shared" si="11"/>
        <v>-2.5403602682341268E-2</v>
      </c>
      <c r="BG26" s="13"/>
      <c r="BH26" s="11" t="str">
        <f t="shared" si="24"/>
        <v>no superior.[jj*] PUNC</v>
      </c>
      <c r="BI26" s="12">
        <v>0</v>
      </c>
      <c r="BJ26" s="12">
        <v>4</v>
      </c>
      <c r="BK26" s="13">
        <f t="shared" si="12"/>
        <v>-1</v>
      </c>
      <c r="BL26" s="13"/>
      <c r="BM26" s="11" t="str">
        <f t="shared" si="25"/>
        <v>no superior.[jj*] [i*]</v>
      </c>
      <c r="BN26" s="12">
        <v>6</v>
      </c>
      <c r="BO26" s="12"/>
      <c r="BP26" s="13">
        <f t="shared" si="13"/>
        <v>-6.5486302418655941E-3</v>
      </c>
      <c r="BQ26" s="13"/>
      <c r="BR26" s="11" t="str">
        <f t="shared" si="26"/>
        <v>any superior.[jj*] PUNC</v>
      </c>
      <c r="BS26" s="12">
        <v>0</v>
      </c>
      <c r="BT26" s="12">
        <v>3</v>
      </c>
      <c r="BU26" s="13">
        <f t="shared" si="14"/>
        <v>-1</v>
      </c>
      <c r="BV26" s="13"/>
      <c r="BW26" s="11" t="str">
        <f t="shared" si="27"/>
        <v>any superior.[jj*] [i*]</v>
      </c>
      <c r="BX26" s="12">
        <v>0</v>
      </c>
      <c r="BY26" s="12"/>
      <c r="BZ26" s="13">
        <f t="shared" si="15"/>
        <v>-1</v>
      </c>
      <c r="CA26" s="13"/>
    </row>
    <row r="27" spans="1:79" x14ac:dyDescent="0.2">
      <c r="A27" s="11" t="s">
        <v>36</v>
      </c>
      <c r="B27" s="12">
        <v>2749</v>
      </c>
      <c r="C27" s="12">
        <v>371</v>
      </c>
      <c r="D27" s="12">
        <v>205</v>
      </c>
      <c r="E27" s="11" t="s">
        <v>232</v>
      </c>
      <c r="F27" s="12">
        <v>0</v>
      </c>
      <c r="G27" s="12"/>
      <c r="H27" s="13">
        <f t="shared" si="0"/>
        <v>-1</v>
      </c>
      <c r="I27" s="13"/>
      <c r="J27" s="13" t="str">
        <f t="shared" si="16"/>
        <v>-very much unequal.[jj*] [i*]</v>
      </c>
      <c r="K27" s="12">
        <v>1</v>
      </c>
      <c r="L27" s="12"/>
      <c r="M27" s="13">
        <f t="shared" si="1"/>
        <v>8.213912822830137E-2</v>
      </c>
      <c r="N27" s="13"/>
      <c r="O27" s="13" t="str">
        <f t="shared" si="17"/>
        <v>more unequal.[jj*] PUNC</v>
      </c>
      <c r="P27" s="12">
        <v>23</v>
      </c>
      <c r="Q27" s="12"/>
      <c r="R27" s="13">
        <f t="shared" si="2"/>
        <v>0.18774285911429531</v>
      </c>
      <c r="S27" s="13"/>
      <c r="T27" s="13" t="str">
        <f t="shared" si="28"/>
        <v>more unequal.[jj*] [i*]</v>
      </c>
      <c r="U27" s="12">
        <v>9</v>
      </c>
      <c r="V27" s="12"/>
      <c r="W27" s="13">
        <f t="shared" si="3"/>
        <v>0.15961219704102847</v>
      </c>
      <c r="X27" s="13"/>
      <c r="Y27" s="11" t="str">
        <f t="shared" si="4"/>
        <v>less unequal.[jj*] PUNC</v>
      </c>
      <c r="Z27" s="12">
        <v>3</v>
      </c>
      <c r="AA27" s="12"/>
      <c r="AB27" s="13">
        <f t="shared" si="5"/>
        <v>0.16170141592284015</v>
      </c>
      <c r="AC27" s="13"/>
      <c r="AD27" s="11" t="str">
        <f t="shared" si="18"/>
        <v>less unequal.[jj*] [i*]</v>
      </c>
      <c r="AE27" s="12">
        <v>1</v>
      </c>
      <c r="AF27" s="12"/>
      <c r="AG27" s="13">
        <f t="shared" si="6"/>
        <v>0.1287446284389826</v>
      </c>
      <c r="AH27" s="13"/>
      <c r="AI27" s="11" t="str">
        <f t="shared" si="19"/>
        <v>unequal.[jj*] enough</v>
      </c>
      <c r="AJ27" s="12">
        <v>1</v>
      </c>
      <c r="AK27" s="12"/>
      <c r="AL27" s="13">
        <f t="shared" si="7"/>
        <v>-4.0089825408516121E-3</v>
      </c>
      <c r="AM27" s="13"/>
      <c r="AN27" s="11" t="str">
        <f t="shared" si="20"/>
        <v>that.[r*] unequal.[jj*] PUNC</v>
      </c>
      <c r="AO27" s="12">
        <v>0</v>
      </c>
      <c r="AP27" s="12"/>
      <c r="AQ27" s="13">
        <f t="shared" si="8"/>
        <v>-1</v>
      </c>
      <c r="AR27" s="13"/>
      <c r="AS27" s="11" t="str">
        <f t="shared" si="21"/>
        <v>that.[r*] unequal.[jj*] [i*]</v>
      </c>
      <c r="AT27" s="12">
        <v>0</v>
      </c>
      <c r="AU27" s="12"/>
      <c r="AV27" s="13">
        <f t="shared" si="9"/>
        <v>-1</v>
      </c>
      <c r="AW27" s="13"/>
      <c r="AX27" s="11" t="str">
        <f t="shared" si="22"/>
        <v>-a little unequal.[jj*] PUNC</v>
      </c>
      <c r="AY27" s="12">
        <v>0</v>
      </c>
      <c r="AZ27" s="12"/>
      <c r="BA27" s="13">
        <f t="shared" si="10"/>
        <v>-1</v>
      </c>
      <c r="BB27" s="13"/>
      <c r="BC27" s="11" t="str">
        <f t="shared" si="23"/>
        <v>-a little.[r*] unequal.[jj*] [i*]</v>
      </c>
      <c r="BD27" s="12">
        <v>0</v>
      </c>
      <c r="BE27" s="12"/>
      <c r="BF27" s="13">
        <f t="shared" si="11"/>
        <v>-1</v>
      </c>
      <c r="BG27" s="13"/>
      <c r="BH27" s="11" t="str">
        <f t="shared" si="24"/>
        <v>no unequal.[jj*] PUNC</v>
      </c>
      <c r="BI27" s="12">
        <v>0</v>
      </c>
      <c r="BJ27" s="12"/>
      <c r="BK27" s="13">
        <f t="shared" si="12"/>
        <v>-1</v>
      </c>
      <c r="BL27" s="13"/>
      <c r="BM27" s="11" t="str">
        <f t="shared" si="25"/>
        <v>no unequal.[jj*] [i*]</v>
      </c>
      <c r="BN27" s="12">
        <v>0</v>
      </c>
      <c r="BO27" s="12"/>
      <c r="BP27" s="13">
        <f t="shared" si="13"/>
        <v>-1</v>
      </c>
      <c r="BQ27" s="13"/>
      <c r="BR27" s="11" t="str">
        <f t="shared" si="26"/>
        <v>any unequal.[jj*] PUNC</v>
      </c>
      <c r="BS27" s="12">
        <v>0</v>
      </c>
      <c r="BT27" s="12"/>
      <c r="BU27" s="13">
        <f t="shared" si="14"/>
        <v>-1</v>
      </c>
      <c r="BV27" s="13"/>
      <c r="BW27" s="11" t="str">
        <f t="shared" si="27"/>
        <v>any unequal.[jj*] [i*]</v>
      </c>
      <c r="BX27" s="12">
        <v>0</v>
      </c>
      <c r="BY27" s="12"/>
      <c r="BZ27" s="13">
        <f t="shared" si="15"/>
        <v>-1</v>
      </c>
      <c r="CA27" s="13"/>
    </row>
    <row r="28" spans="1:79" x14ac:dyDescent="0.2">
      <c r="A28" s="15" t="s">
        <v>34</v>
      </c>
      <c r="B28" s="12">
        <v>6279</v>
      </c>
      <c r="C28" s="12">
        <v>1121</v>
      </c>
      <c r="D28" s="12">
        <v>1380</v>
      </c>
      <c r="E28" s="11" t="s">
        <v>233</v>
      </c>
      <c r="F28" s="12">
        <v>7</v>
      </c>
      <c r="G28" s="12"/>
      <c r="H28" s="13">
        <f t="shared" si="0"/>
        <v>0.10379907723684791</v>
      </c>
      <c r="I28" s="13"/>
      <c r="J28" s="13" t="str">
        <f t="shared" si="16"/>
        <v>-very much inferior.[jj*] [i*]</v>
      </c>
      <c r="K28" s="12">
        <v>15</v>
      </c>
      <c r="L28" s="12"/>
      <c r="M28" s="13">
        <f t="shared" si="1"/>
        <v>0.13895190068216579</v>
      </c>
      <c r="N28" s="13"/>
      <c r="O28" s="13" t="str">
        <f t="shared" si="17"/>
        <v>more inferior.[jj*] PUNC</v>
      </c>
      <c r="P28" s="12">
        <v>2</v>
      </c>
      <c r="Q28" s="12"/>
      <c r="R28" s="13">
        <f t="shared" si="2"/>
        <v>-1.2259824586464577E-2</v>
      </c>
      <c r="S28" s="13"/>
      <c r="T28" s="13" t="str">
        <f t="shared" si="28"/>
        <v>more inferior.[jj*] [i*]</v>
      </c>
      <c r="U28" s="12">
        <v>3</v>
      </c>
      <c r="V28" s="12"/>
      <c r="W28" s="13">
        <f t="shared" si="3"/>
        <v>-2.4454601568163008E-3</v>
      </c>
      <c r="X28" s="13"/>
      <c r="Y28" s="11" t="str">
        <f t="shared" si="4"/>
        <v>less inferior.[jj*] PUNC</v>
      </c>
      <c r="Z28" s="12">
        <v>1</v>
      </c>
      <c r="AA28" s="12"/>
      <c r="AB28" s="13">
        <f t="shared" si="5"/>
        <v>4.6772514600402597E-2</v>
      </c>
      <c r="AC28" s="13"/>
      <c r="AD28" s="11" t="str">
        <f t="shared" si="18"/>
        <v>less inferior.[jj*] [i*]</v>
      </c>
      <c r="AE28" s="12">
        <v>2</v>
      </c>
      <c r="AF28" s="12"/>
      <c r="AG28" s="13">
        <f t="shared" si="6"/>
        <v>7.2615121920910422E-2</v>
      </c>
      <c r="AH28" s="13"/>
      <c r="AI28" s="11" t="str">
        <f t="shared" si="19"/>
        <v>inferior.[jj*] enough</v>
      </c>
      <c r="AJ28" s="12">
        <v>0</v>
      </c>
      <c r="AK28" s="12"/>
      <c r="AL28" s="13">
        <f t="shared" si="7"/>
        <v>-1</v>
      </c>
      <c r="AM28" s="13"/>
      <c r="AN28" s="11" t="str">
        <f t="shared" si="20"/>
        <v>that.[r*] inferior.[jj*] PUNC</v>
      </c>
      <c r="AO28" s="12">
        <v>1</v>
      </c>
      <c r="AP28" s="12"/>
      <c r="AQ28" s="13">
        <f t="shared" si="8"/>
        <v>9.9862567040224531E-2</v>
      </c>
      <c r="AR28" s="13"/>
      <c r="AS28" s="11" t="str">
        <f t="shared" si="21"/>
        <v>that.[r*] inferior.[jj*] [i*]</v>
      </c>
      <c r="AT28" s="12">
        <v>0</v>
      </c>
      <c r="AU28" s="12"/>
      <c r="AV28" s="13">
        <f t="shared" si="9"/>
        <v>-1</v>
      </c>
      <c r="AW28" s="13"/>
      <c r="AX28" s="11" t="str">
        <f t="shared" si="22"/>
        <v>-a little inferior.[jj*] PUNC</v>
      </c>
      <c r="AY28" s="12">
        <v>0</v>
      </c>
      <c r="AZ28" s="12"/>
      <c r="BA28" s="13">
        <f t="shared" si="10"/>
        <v>-1</v>
      </c>
      <c r="BB28" s="13"/>
      <c r="BC28" s="11" t="str">
        <f t="shared" si="23"/>
        <v>-a little.[r*] inferior.[jj*] [i*]</v>
      </c>
      <c r="BD28" s="12">
        <v>2</v>
      </c>
      <c r="BE28" s="12"/>
      <c r="BF28" s="13">
        <f t="shared" si="11"/>
        <v>6.6424608382962672E-2</v>
      </c>
      <c r="BG28" s="13"/>
      <c r="BH28" s="11" t="str">
        <f t="shared" si="24"/>
        <v>no inferior.[jj*] PUNC</v>
      </c>
      <c r="BI28" s="12">
        <v>0</v>
      </c>
      <c r="BJ28" s="12">
        <v>1</v>
      </c>
      <c r="BK28" s="13">
        <f t="shared" si="12"/>
        <v>-1</v>
      </c>
      <c r="BL28" s="13"/>
      <c r="BM28" s="11" t="str">
        <f t="shared" si="25"/>
        <v>no inferior.[jj*] [i*]</v>
      </c>
      <c r="BN28" s="12">
        <v>0</v>
      </c>
      <c r="BO28" s="12"/>
      <c r="BP28" s="13">
        <f t="shared" si="13"/>
        <v>-1</v>
      </c>
      <c r="BQ28" s="13"/>
      <c r="BR28" s="11" t="str">
        <f t="shared" si="26"/>
        <v>any inferior.[jj*] PUNC</v>
      </c>
      <c r="BS28" s="12">
        <v>1</v>
      </c>
      <c r="BT28" s="12"/>
      <c r="BU28" s="13">
        <f t="shared" si="14"/>
        <v>-5.2533897401463737E-3</v>
      </c>
      <c r="BV28" s="13"/>
      <c r="BW28" s="11" t="str">
        <f t="shared" si="27"/>
        <v>any inferior.[jj*] [i*]</v>
      </c>
      <c r="BX28" s="12">
        <v>0</v>
      </c>
      <c r="BY28" s="12">
        <v>1</v>
      </c>
      <c r="BZ28" s="13">
        <f t="shared" si="15"/>
        <v>-1</v>
      </c>
      <c r="CA28" s="13"/>
    </row>
    <row r="29" spans="1:79" x14ac:dyDescent="0.2">
      <c r="A29" s="15" t="s">
        <v>32</v>
      </c>
      <c r="B29" s="12">
        <v>413540</v>
      </c>
      <c r="C29" s="12">
        <v>51821</v>
      </c>
      <c r="D29" s="12">
        <v>38981</v>
      </c>
      <c r="E29" s="11" t="s">
        <v>234</v>
      </c>
      <c r="F29" s="12">
        <v>570</v>
      </c>
      <c r="G29" s="12">
        <v>1</v>
      </c>
      <c r="H29" s="13">
        <f t="shared" si="0"/>
        <v>0.17492583450226878</v>
      </c>
      <c r="I29" s="13"/>
      <c r="J29" s="13" t="str">
        <f t="shared" si="16"/>
        <v>-very much different.[jj*] [i*]</v>
      </c>
      <c r="K29" s="12">
        <v>881</v>
      </c>
      <c r="L29" s="12">
        <v>1</v>
      </c>
      <c r="M29" s="13">
        <f t="shared" si="1"/>
        <v>0.23202898700901847</v>
      </c>
      <c r="N29" s="13"/>
      <c r="O29" s="13" t="str">
        <f t="shared" si="17"/>
        <v>more different.[jj*] PUNC</v>
      </c>
      <c r="P29" s="12">
        <v>295</v>
      </c>
      <c r="Q29" s="12"/>
      <c r="R29" s="13">
        <f t="shared" si="2"/>
        <v>6.0818007934806788E-2</v>
      </c>
      <c r="S29" s="13"/>
      <c r="T29" s="13" t="str">
        <f t="shared" si="28"/>
        <v>more different.[jj*] [i*]</v>
      </c>
      <c r="U29" s="12">
        <v>175</v>
      </c>
      <c r="V29" s="12"/>
      <c r="W29" s="13">
        <f t="shared" si="3"/>
        <v>4.3517034141385941E-2</v>
      </c>
      <c r="X29" s="13"/>
      <c r="Y29" s="11" t="str">
        <f t="shared" si="4"/>
        <v>less different.[jj*] PUNC</v>
      </c>
      <c r="Z29" s="12">
        <v>2</v>
      </c>
      <c r="AA29" s="12">
        <v>2</v>
      </c>
      <c r="AB29" s="13">
        <f t="shared" si="5"/>
        <v>-0.10837180991187824</v>
      </c>
      <c r="AC29" s="13"/>
      <c r="AD29" s="11" t="str">
        <f t="shared" si="18"/>
        <v>less different.[jj*] [i*]</v>
      </c>
      <c r="AE29" s="12">
        <v>15</v>
      </c>
      <c r="AF29" s="12">
        <v>1</v>
      </c>
      <c r="AG29" s="13">
        <f t="shared" si="6"/>
        <v>7.1378896002363221E-3</v>
      </c>
      <c r="AH29" s="13"/>
      <c r="AI29" s="11" t="str">
        <f t="shared" si="19"/>
        <v>different.[jj*] enough</v>
      </c>
      <c r="AJ29" s="12">
        <v>201</v>
      </c>
      <c r="AK29" s="12"/>
      <c r="AL29" s="13">
        <f t="shared" si="7"/>
        <v>1.3402006747874617E-2</v>
      </c>
      <c r="AM29" s="13"/>
      <c r="AN29" s="11" t="str">
        <f t="shared" si="20"/>
        <v>that.[r*] different.[jj*] PUNC</v>
      </c>
      <c r="AO29" s="12">
        <f>0.99*283</f>
        <v>280.17</v>
      </c>
      <c r="AP29" s="12">
        <f>282-AO29</f>
        <v>1.8299999999999841</v>
      </c>
      <c r="AQ29" s="13">
        <f t="shared" si="8"/>
        <v>0.25655369495007951</v>
      </c>
      <c r="AR29" s="13"/>
      <c r="AS29" s="11" t="str">
        <f t="shared" si="21"/>
        <v>that.[r*] different.[jj*] [i*]</v>
      </c>
      <c r="AT29" s="12">
        <v>28</v>
      </c>
      <c r="AU29" s="12"/>
      <c r="AV29" s="13">
        <f t="shared" si="9"/>
        <v>0.10653809636085909</v>
      </c>
      <c r="AW29" s="13"/>
      <c r="AX29" s="11" t="str">
        <f t="shared" si="22"/>
        <v>-a little different.[jj*] PUNC</v>
      </c>
      <c r="AY29" s="12">
        <v>18</v>
      </c>
      <c r="AZ29" s="12">
        <v>5</v>
      </c>
      <c r="BA29" s="13">
        <f t="shared" si="10"/>
        <v>-5.4835244807612997E-3</v>
      </c>
      <c r="BB29" s="13"/>
      <c r="BC29" s="11" t="str">
        <f t="shared" si="23"/>
        <v>-a little.[r*] different.[jj*] [i*]</v>
      </c>
      <c r="BD29" s="12">
        <v>120</v>
      </c>
      <c r="BE29" s="12">
        <v>3</v>
      </c>
      <c r="BF29" s="13">
        <f t="shared" si="11"/>
        <v>0.13075366541286707</v>
      </c>
      <c r="BG29" s="13"/>
      <c r="BH29" s="11" t="str">
        <f t="shared" si="24"/>
        <v>no different.[jj*] PUNC</v>
      </c>
      <c r="BI29" s="12">
        <v>1535</v>
      </c>
      <c r="BJ29" s="12">
        <v>1</v>
      </c>
      <c r="BK29" s="13">
        <f t="shared" si="12"/>
        <v>0.22097877117211265</v>
      </c>
      <c r="BL29" s="13"/>
      <c r="BM29" s="11" t="str">
        <f t="shared" si="25"/>
        <v>no different.[jj*] [i*]</v>
      </c>
      <c r="BN29" s="12">
        <v>1691</v>
      </c>
      <c r="BO29" s="12">
        <v>4</v>
      </c>
      <c r="BP29" s="13">
        <f t="shared" si="13"/>
        <v>0.25128772883598688</v>
      </c>
      <c r="BQ29" s="13"/>
      <c r="BR29" s="11" t="str">
        <f t="shared" si="26"/>
        <v>any different.[jj*] PUNC</v>
      </c>
      <c r="BS29" s="12">
        <v>1208</v>
      </c>
      <c r="BT29" s="12"/>
      <c r="BU29" s="13">
        <f t="shared" si="14"/>
        <v>0.23143040379387403</v>
      </c>
      <c r="BV29" s="13"/>
      <c r="BW29" s="11" t="str">
        <f t="shared" si="27"/>
        <v>any different.[jj*] [i*]</v>
      </c>
      <c r="BX29" s="12">
        <v>650</v>
      </c>
      <c r="BY29" s="12"/>
      <c r="BZ29" s="13">
        <f t="shared" si="15"/>
        <v>0.19785256370122936</v>
      </c>
      <c r="CA29" s="13"/>
    </row>
    <row r="30" spans="1:79" x14ac:dyDescent="0.2">
      <c r="A30" s="14" t="s">
        <v>49</v>
      </c>
      <c r="B30" s="12">
        <v>2332</v>
      </c>
      <c r="C30" s="12">
        <v>1302</v>
      </c>
      <c r="D30" s="12">
        <v>70</v>
      </c>
      <c r="E30" s="16" t="s">
        <v>264</v>
      </c>
      <c r="F30" s="12">
        <v>178</v>
      </c>
      <c r="G30" s="12">
        <v>22</v>
      </c>
      <c r="H30" s="13">
        <f t="shared" si="0"/>
        <v>0.32394786054715918</v>
      </c>
      <c r="I30" s="1">
        <f>AVERAGE(H30:H34)</f>
        <v>1.0669861733036034E-2</v>
      </c>
      <c r="J30" s="13" t="str">
        <f>_xlfn.CONCAT("-very much ",A30," [i*]")</f>
        <v>-very much alike [i*]</v>
      </c>
      <c r="K30" s="12">
        <v>24</v>
      </c>
      <c r="L30" s="12"/>
      <c r="M30" s="13">
        <f t="shared" si="1"/>
        <v>0.33935282985778037</v>
      </c>
      <c r="N30" s="1">
        <f>AVERAGE(M30:M34)</f>
        <v>3.3173375238808991E-2</v>
      </c>
      <c r="O30" s="13" t="str">
        <f>_xlfn.CONCAT("more ",$A30," PUNC")</f>
        <v>more alike PUNC</v>
      </c>
      <c r="P30" s="12">
        <v>42</v>
      </c>
      <c r="Q30" s="12"/>
      <c r="R30" s="13">
        <f t="shared" si="2"/>
        <v>0.15594335917837754</v>
      </c>
      <c r="S30" s="1">
        <f>AVERAGE(R30:R34)</f>
        <v>7.1690271617505602E-2</v>
      </c>
      <c r="T30" s="13" t="str">
        <f>_xlfn.CONCAT("more ",$A30," [i*]")</f>
        <v>more alike [i*]</v>
      </c>
      <c r="U30" s="12">
        <v>29</v>
      </c>
      <c r="V30" s="12"/>
      <c r="W30" s="13">
        <f t="shared" si="3"/>
        <v>0.29967578706012782</v>
      </c>
      <c r="X30" s="1">
        <f>AVERAGE(W30:W34)</f>
        <v>0.12657724776631035</v>
      </c>
      <c r="Y30" s="11" t="str">
        <f>_xlfn.CONCAT("less ",A30," PUNC")</f>
        <v>less alike PUNC</v>
      </c>
      <c r="Z30" s="12">
        <v>5</v>
      </c>
      <c r="AA30" s="12"/>
      <c r="AB30" s="13">
        <f t="shared" si="5"/>
        <v>0.1270705726372196</v>
      </c>
      <c r="AC30" s="1">
        <f>AVERAGE(AB30:AB34)</f>
        <v>9.6122645600415779E-2</v>
      </c>
      <c r="AD30" s="11" t="str">
        <f>_xlfn.CONCAT("less ",$A30," [i*]")</f>
        <v>less alike [i*]</v>
      </c>
      <c r="AE30" s="12">
        <v>3</v>
      </c>
      <c r="AF30" s="12"/>
      <c r="AG30" s="13">
        <f t="shared" si="6"/>
        <v>0.24666911406830594</v>
      </c>
      <c r="AH30" s="1">
        <f>AVERAGE(AG30:AG34)</f>
        <v>9.3995542099839957E-2</v>
      </c>
      <c r="AI30" s="11" t="str">
        <f t="shared" si="19"/>
        <v>alike.[jj*] enough</v>
      </c>
      <c r="AJ30" s="12">
        <v>0</v>
      </c>
      <c r="AK30" s="12"/>
      <c r="AL30" s="13">
        <f t="shared" si="7"/>
        <v>-1</v>
      </c>
      <c r="AM30" s="1">
        <f>AVERAGE(AL30:AL34)</f>
        <v>-0.2139949367970912</v>
      </c>
      <c r="AN30" s="11" t="str">
        <f t="shared" si="20"/>
        <v>that.[r*] alike.[jj*] PUNC</v>
      </c>
      <c r="AO30" s="12">
        <v>0</v>
      </c>
      <c r="AP30" s="12"/>
      <c r="AQ30" s="13">
        <f t="shared" si="8"/>
        <v>-1</v>
      </c>
      <c r="AR30" s="1">
        <f>AVERAGE(AQ30:AQ34)</f>
        <v>-0.18286231654778509</v>
      </c>
      <c r="AS30" s="11" t="str">
        <f t="shared" si="21"/>
        <v>that.[r*] alike.[jj*] [i*]</v>
      </c>
      <c r="AT30" s="12">
        <v>0</v>
      </c>
      <c r="AU30" s="12"/>
      <c r="AV30" s="13">
        <f t="shared" si="9"/>
        <v>-1</v>
      </c>
      <c r="AW30" s="1">
        <f>AVERAGE(AV30:AV34)</f>
        <v>-0.6039641077707103</v>
      </c>
      <c r="AX30" s="11" t="str">
        <f t="shared" si="22"/>
        <v>-a little alike.[jj*] PUNC</v>
      </c>
      <c r="AY30" s="12">
        <v>0</v>
      </c>
      <c r="AZ30" s="12"/>
      <c r="BA30" s="13">
        <f t="shared" si="10"/>
        <v>-1</v>
      </c>
      <c r="BB30" s="1">
        <f>AVERAGE(BA30:BA34)</f>
        <v>-0.80440482232168387</v>
      </c>
      <c r="BC30" s="11" t="str">
        <f t="shared" si="23"/>
        <v>-a little.[r*] alike.[jj*] [i*]</v>
      </c>
      <c r="BD30" s="12">
        <v>0</v>
      </c>
      <c r="BE30" s="12"/>
      <c r="BF30" s="13">
        <f t="shared" si="11"/>
        <v>-1</v>
      </c>
      <c r="BG30" s="1">
        <f>AVERAGE(BF30:BF34)</f>
        <v>-0.63523896363049903</v>
      </c>
      <c r="BH30" s="11" t="str">
        <f t="shared" si="24"/>
        <v>no alike.[jj*] PUNC</v>
      </c>
      <c r="BI30" s="12">
        <v>0</v>
      </c>
      <c r="BJ30" s="12"/>
      <c r="BK30" s="13">
        <f t="shared" si="12"/>
        <v>-1</v>
      </c>
      <c r="BL30" s="1">
        <f>AVERAGE(BK30:BK34)</f>
        <v>-1</v>
      </c>
      <c r="BM30" s="11" t="str">
        <f t="shared" si="25"/>
        <v>no alike.[jj*] [i*]</v>
      </c>
      <c r="BN30" s="12">
        <v>0</v>
      </c>
      <c r="BO30" s="12"/>
      <c r="BP30" s="13">
        <f t="shared" si="13"/>
        <v>-1</v>
      </c>
      <c r="BQ30" s="1">
        <f>AVERAGE(BP30:BP34)</f>
        <v>-1</v>
      </c>
      <c r="BR30" s="11" t="str">
        <f t="shared" si="26"/>
        <v>any alike.[jj*] PUNC</v>
      </c>
      <c r="BS30" s="12">
        <v>1</v>
      </c>
      <c r="BT30" s="12">
        <v>1</v>
      </c>
      <c r="BU30" s="13">
        <f t="shared" si="14"/>
        <v>-1.2475203218054108E-2</v>
      </c>
      <c r="BV30" s="1">
        <f>AVERAGE(BU30:BU34)</f>
        <v>-0.80249504064361088</v>
      </c>
      <c r="BW30" s="11" t="str">
        <f t="shared" si="27"/>
        <v>any alike.[jj*] [i*]</v>
      </c>
      <c r="BX30" s="12">
        <v>0</v>
      </c>
      <c r="BY30" s="12"/>
      <c r="BZ30" s="13">
        <f t="shared" si="15"/>
        <v>-1</v>
      </c>
      <c r="CA30" s="1">
        <f>AVERAGE(BZ30:BZ34)</f>
        <v>-1</v>
      </c>
    </row>
    <row r="31" spans="1:79" x14ac:dyDescent="0.2">
      <c r="A31" s="11" t="s">
        <v>48</v>
      </c>
      <c r="B31" s="12">
        <v>78943</v>
      </c>
      <c r="C31" s="12">
        <v>12485</v>
      </c>
      <c r="D31" s="12">
        <v>23318</v>
      </c>
      <c r="E31" s="11" t="s">
        <v>235</v>
      </c>
      <c r="F31" s="12">
        <v>10</v>
      </c>
      <c r="G31" s="12">
        <v>1</v>
      </c>
      <c r="H31" s="13">
        <f t="shared" si="0"/>
        <v>-5.6590629221979485E-3</v>
      </c>
      <c r="I31" s="13"/>
      <c r="J31" s="13" t="str">
        <f t="shared" ref="J31:J38" si="29">_xlfn.CONCAT("-very much ",A31,".[jj*] [i*]")</f>
        <v>-very much afraid.[jj*] [i*]</v>
      </c>
      <c r="K31" s="12">
        <v>17</v>
      </c>
      <c r="L31" s="12">
        <v>1</v>
      </c>
      <c r="M31" s="13">
        <f t="shared" si="1"/>
        <v>-1.1084235576712695E-2</v>
      </c>
      <c r="N31" s="13"/>
      <c r="O31" s="13" t="str">
        <f t="shared" si="17"/>
        <v>more afraid.[jj*] PUNC</v>
      </c>
      <c r="P31" s="12">
        <v>59</v>
      </c>
      <c r="Q31" s="12"/>
      <c r="R31" s="13">
        <f t="shared" si="2"/>
        <v>4.3756337111972417E-2</v>
      </c>
      <c r="S31" s="13"/>
      <c r="T31" s="13" t="str">
        <f t="shared" si="28"/>
        <v>more afraid.[jj*] [i*]</v>
      </c>
      <c r="U31" s="12">
        <v>366</v>
      </c>
      <c r="V31" s="12"/>
      <c r="W31" s="13">
        <f t="shared" si="3"/>
        <v>0.13012299595271873</v>
      </c>
      <c r="X31" s="13"/>
      <c r="Y31" s="11" t="str">
        <f t="shared" ref="Y31:Y41" si="30">_xlfn.CONCAT("less ",A31,".[jj*] PUNC")</f>
        <v>less afraid.[jj*] PUNC</v>
      </c>
      <c r="Z31" s="12">
        <v>50</v>
      </c>
      <c r="AA31" s="12"/>
      <c r="AB31" s="13">
        <f t="shared" si="5"/>
        <v>0.14696750163885192</v>
      </c>
      <c r="AC31" s="13"/>
      <c r="AD31" s="11" t="str">
        <f t="shared" si="18"/>
        <v>less afraid.[jj*] [i*]</v>
      </c>
      <c r="AE31" s="12">
        <v>72</v>
      </c>
      <c r="AF31" s="12">
        <v>1</v>
      </c>
      <c r="AG31" s="13">
        <f t="shared" si="6"/>
        <v>0.13441611380061552</v>
      </c>
      <c r="AH31" s="13"/>
      <c r="AI31" s="11" t="str">
        <f t="shared" si="19"/>
        <v>afraid.[jj*] enough</v>
      </c>
      <c r="AJ31" s="12">
        <v>14</v>
      </c>
      <c r="AK31" s="12"/>
      <c r="AL31" s="13">
        <f t="shared" si="7"/>
        <v>-4.431459853590735E-2</v>
      </c>
      <c r="AM31" s="13"/>
      <c r="AN31" s="11" t="str">
        <f t="shared" si="20"/>
        <v>that.[r*] afraid.[jj*] PUNC</v>
      </c>
      <c r="AO31" s="12">
        <v>6</v>
      </c>
      <c r="AP31" s="12"/>
      <c r="AQ31" s="13">
        <f t="shared" si="8"/>
        <v>7.6644625246449424E-2</v>
      </c>
      <c r="AR31" s="13"/>
      <c r="AS31" s="11" t="str">
        <f t="shared" si="21"/>
        <v>that.[r*] afraid.[jj*] [i*]</v>
      </c>
      <c r="AT31" s="12">
        <v>4</v>
      </c>
      <c r="AU31" s="12"/>
      <c r="AV31" s="13">
        <f t="shared" si="9"/>
        <v>2.1771443054944301E-2</v>
      </c>
      <c r="AW31" s="13"/>
      <c r="AX31" s="11" t="str">
        <f t="shared" si="22"/>
        <v>-a little afraid.[jj*] PUNC</v>
      </c>
      <c r="AY31" s="12">
        <v>0</v>
      </c>
      <c r="AZ31" s="12"/>
      <c r="BA31" s="13">
        <f t="shared" si="10"/>
        <v>-1</v>
      </c>
      <c r="BB31" s="13"/>
      <c r="BC31" s="11" t="str">
        <f t="shared" si="23"/>
        <v>-a little.[r*] afraid.[jj*] [i*]</v>
      </c>
      <c r="BD31" s="12">
        <v>1</v>
      </c>
      <c r="BE31" s="12"/>
      <c r="BF31" s="13">
        <f t="shared" si="11"/>
        <v>-0.10564454391782314</v>
      </c>
      <c r="BG31" s="13"/>
      <c r="BH31" s="11" t="str">
        <f t="shared" si="24"/>
        <v>no afraid.[jj*] PUNC</v>
      </c>
      <c r="BI31" s="12">
        <v>0</v>
      </c>
      <c r="BJ31" s="12">
        <v>1</v>
      </c>
      <c r="BK31" s="13">
        <f t="shared" si="12"/>
        <v>-1</v>
      </c>
      <c r="BL31" s="13"/>
      <c r="BM31" s="11" t="str">
        <f t="shared" si="25"/>
        <v>no afraid.[jj*] [i*]</v>
      </c>
      <c r="BN31" s="12">
        <v>0</v>
      </c>
      <c r="BO31" s="12">
        <v>1</v>
      </c>
      <c r="BP31" s="13">
        <f t="shared" si="13"/>
        <v>-1</v>
      </c>
      <c r="BQ31" s="13"/>
      <c r="BR31" s="11" t="str">
        <f t="shared" si="26"/>
        <v>any afraid.[jj*] PUNC</v>
      </c>
      <c r="BS31" s="12">
        <v>0</v>
      </c>
      <c r="BT31" s="12"/>
      <c r="BU31" s="13">
        <f t="shared" si="14"/>
        <v>-1</v>
      </c>
      <c r="BV31" s="13"/>
      <c r="BW31" s="11" t="str">
        <f t="shared" si="27"/>
        <v>any afraid.[jj*] [i*]</v>
      </c>
      <c r="BX31" s="12">
        <v>0</v>
      </c>
      <c r="BY31" s="12"/>
      <c r="BZ31" s="13">
        <f t="shared" si="15"/>
        <v>-1</v>
      </c>
      <c r="CA31" s="13"/>
    </row>
    <row r="32" spans="1:79" x14ac:dyDescent="0.2">
      <c r="A32" s="11" t="s">
        <v>50</v>
      </c>
      <c r="B32" s="12">
        <v>69262</v>
      </c>
      <c r="C32" s="12">
        <v>41141</v>
      </c>
      <c r="D32" s="12">
        <v>8133</v>
      </c>
      <c r="E32" s="11" t="s">
        <v>236</v>
      </c>
      <c r="F32" s="12">
        <v>7</v>
      </c>
      <c r="G32" s="12">
        <v>4</v>
      </c>
      <c r="H32" s="13">
        <f t="shared" si="0"/>
        <v>-8.8039994179118619E-2</v>
      </c>
      <c r="I32" s="13"/>
      <c r="J32" s="13" t="str">
        <f t="shared" si="29"/>
        <v>-very much alive.[jj*] [i*]</v>
      </c>
      <c r="K32" s="12">
        <v>4</v>
      </c>
      <c r="L32" s="12"/>
      <c r="M32" s="13">
        <f t="shared" si="1"/>
        <v>-3.0607919517192696E-2</v>
      </c>
      <c r="N32" s="13"/>
      <c r="O32" s="13" t="str">
        <f t="shared" si="17"/>
        <v>more alive.[jj*] PUNC</v>
      </c>
      <c r="P32" s="12">
        <v>184</v>
      </c>
      <c r="Q32" s="12"/>
      <c r="R32" s="13">
        <f t="shared" si="2"/>
        <v>4.3413967448155934E-2</v>
      </c>
      <c r="S32" s="13"/>
      <c r="T32" s="13" t="str">
        <f t="shared" si="28"/>
        <v>more alive.[jj*] [i*]</v>
      </c>
      <c r="U32" s="12">
        <v>34</v>
      </c>
      <c r="V32" s="12">
        <v>1</v>
      </c>
      <c r="W32" s="13">
        <f t="shared" si="3"/>
        <v>3.522737657445732E-2</v>
      </c>
      <c r="X32" s="13"/>
      <c r="Y32" s="11" t="str">
        <f t="shared" si="30"/>
        <v>less alive.[jj*] PUNC</v>
      </c>
      <c r="Z32" s="12">
        <v>16</v>
      </c>
      <c r="AA32" s="12"/>
      <c r="AB32" s="13">
        <f t="shared" si="5"/>
        <v>7.7543882261377059E-3</v>
      </c>
      <c r="AC32" s="13"/>
      <c r="AD32" s="11" t="str">
        <f t="shared" si="18"/>
        <v>less alive.[jj*] [i*]</v>
      </c>
      <c r="AE32" s="12">
        <v>2</v>
      </c>
      <c r="AF32" s="12"/>
      <c r="AG32" s="13">
        <f t="shared" si="6"/>
        <v>-1.5931076067781918E-2</v>
      </c>
      <c r="AH32" s="13"/>
      <c r="AI32" s="11" t="str">
        <f t="shared" si="19"/>
        <v>alive.[jj*] enough</v>
      </c>
      <c r="AJ32" s="12">
        <v>22</v>
      </c>
      <c r="AK32" s="12"/>
      <c r="AL32" s="13">
        <f t="shared" si="7"/>
        <v>-1.2401824807403643E-2</v>
      </c>
      <c r="AM32" s="13"/>
      <c r="AN32" s="11" t="str">
        <f t="shared" si="20"/>
        <v>that.[r*] alive.[jj*] PUNC</v>
      </c>
      <c r="AO32" s="12">
        <v>3</v>
      </c>
      <c r="AP32" s="12">
        <v>8</v>
      </c>
      <c r="AQ32" s="13">
        <f t="shared" si="8"/>
        <v>-2.2132426760137148E-2</v>
      </c>
      <c r="AR32" s="13"/>
      <c r="AS32" s="11" t="str">
        <f t="shared" si="21"/>
        <v>that.[r*] alive.[jj*] [i*]</v>
      </c>
      <c r="AT32" s="12">
        <v>0</v>
      </c>
      <c r="AU32" s="12"/>
      <c r="AV32" s="13">
        <f t="shared" si="9"/>
        <v>-1</v>
      </c>
      <c r="AW32" s="13"/>
      <c r="AX32" s="11" t="str">
        <f t="shared" si="22"/>
        <v>-a little alive.[jj*] PUNC</v>
      </c>
      <c r="AY32" s="12">
        <v>0</v>
      </c>
      <c r="AZ32" s="12"/>
      <c r="BA32" s="13">
        <f t="shared" si="10"/>
        <v>-1</v>
      </c>
      <c r="BB32" s="13"/>
      <c r="BC32" s="11" t="str">
        <f t="shared" si="23"/>
        <v>-a little.[r*] alive.[jj*] [i*]</v>
      </c>
      <c r="BD32" s="12">
        <v>0</v>
      </c>
      <c r="BE32" s="12"/>
      <c r="BF32" s="13">
        <f t="shared" si="11"/>
        <v>-1</v>
      </c>
      <c r="BG32" s="13"/>
      <c r="BH32" s="11" t="str">
        <f t="shared" si="24"/>
        <v>no alive.[jj*] PUNC</v>
      </c>
      <c r="BI32" s="12">
        <v>0</v>
      </c>
      <c r="BJ32" s="12"/>
      <c r="BK32" s="13">
        <f t="shared" si="12"/>
        <v>-1</v>
      </c>
      <c r="BL32" s="13"/>
      <c r="BM32" s="11" t="str">
        <f t="shared" si="25"/>
        <v>no alive.[jj*] [i*]</v>
      </c>
      <c r="BN32" s="12">
        <v>0</v>
      </c>
      <c r="BO32" s="12"/>
      <c r="BP32" s="13">
        <f t="shared" si="13"/>
        <v>-1</v>
      </c>
      <c r="BQ32" s="13"/>
      <c r="BR32" s="11" t="str">
        <f t="shared" si="26"/>
        <v>any alive.[jj*] PUNC</v>
      </c>
      <c r="BS32" s="12">
        <v>0</v>
      </c>
      <c r="BT32" s="12">
        <v>1</v>
      </c>
      <c r="BU32" s="13">
        <f t="shared" si="14"/>
        <v>-1</v>
      </c>
      <c r="BV32" s="13"/>
      <c r="BW32" s="11" t="str">
        <f t="shared" si="27"/>
        <v>any alive.[jj*] [i*]</v>
      </c>
      <c r="BX32" s="12">
        <v>0</v>
      </c>
      <c r="BY32" s="12"/>
      <c r="BZ32" s="13">
        <f t="shared" si="15"/>
        <v>-1</v>
      </c>
      <c r="CA32" s="13"/>
    </row>
    <row r="33" spans="1:79" x14ac:dyDescent="0.2">
      <c r="A33" s="11" t="s">
        <v>51</v>
      </c>
      <c r="B33" s="12">
        <v>68251</v>
      </c>
      <c r="C33" s="12">
        <v>41002</v>
      </c>
      <c r="D33" s="12">
        <v>12629</v>
      </c>
      <c r="E33" s="11" t="s">
        <v>237</v>
      </c>
      <c r="F33" s="12">
        <v>4</v>
      </c>
      <c r="G33" s="12">
        <v>11</v>
      </c>
      <c r="H33" s="13">
        <f t="shared" si="0"/>
        <v>-0.11425336640900513</v>
      </c>
      <c r="I33" s="13"/>
      <c r="J33" s="13" t="str">
        <f t="shared" si="29"/>
        <v>-very much alone.[jj*] [i*]</v>
      </c>
      <c r="K33" s="12">
        <v>2</v>
      </c>
      <c r="L33" s="12">
        <v>10</v>
      </c>
      <c r="M33" s="13">
        <f t="shared" si="1"/>
        <v>-8.6116183351742356E-2</v>
      </c>
      <c r="N33" s="13"/>
      <c r="O33" s="13" t="str">
        <f t="shared" si="17"/>
        <v>more alone.[jj*] PUNC</v>
      </c>
      <c r="P33" s="12">
        <v>37</v>
      </c>
      <c r="Q33" s="12">
        <v>2</v>
      </c>
      <c r="R33" s="13">
        <f t="shared" si="2"/>
        <v>-5.4175719378453245E-2</v>
      </c>
      <c r="S33" s="13"/>
      <c r="T33" s="13" t="str">
        <f t="shared" si="28"/>
        <v>more alone.[jj*] [i*]</v>
      </c>
      <c r="U33" s="12">
        <v>11</v>
      </c>
      <c r="V33" s="12"/>
      <c r="W33" s="13">
        <f t="shared" si="3"/>
        <v>-5.2521507249433316E-2</v>
      </c>
      <c r="X33" s="13"/>
      <c r="Y33" s="11" t="str">
        <f t="shared" si="30"/>
        <v>less alone.[jj*] PUNC</v>
      </c>
      <c r="Z33" s="12">
        <v>87</v>
      </c>
      <c r="AA33" s="12"/>
      <c r="AB33" s="13">
        <f t="shared" si="5"/>
        <v>0.11290868176936185</v>
      </c>
      <c r="AC33" s="13"/>
      <c r="AD33" s="11" t="str">
        <f t="shared" si="18"/>
        <v>less alone.[jj*] [i*]</v>
      </c>
      <c r="AE33" s="12">
        <v>4</v>
      </c>
      <c r="AF33" s="12">
        <v>2</v>
      </c>
      <c r="AG33" s="13">
        <f t="shared" si="6"/>
        <v>-3.416055825464742E-3</v>
      </c>
      <c r="AH33" s="13"/>
      <c r="AI33" s="11" t="str">
        <f t="shared" si="19"/>
        <v>alone.[jj*] enough</v>
      </c>
      <c r="AJ33" s="12">
        <v>5</v>
      </c>
      <c r="AK33" s="12"/>
      <c r="AL33" s="13">
        <f t="shared" si="7"/>
        <v>-8.8174556916597854E-2</v>
      </c>
      <c r="AM33" s="13"/>
      <c r="AN33" s="11" t="str">
        <f t="shared" si="20"/>
        <v>that.[r*] alone.[jj*] PUNC</v>
      </c>
      <c r="AO33" s="12">
        <v>2</v>
      </c>
      <c r="AP33" s="12">
        <v>186</v>
      </c>
      <c r="AQ33" s="13">
        <f t="shared" si="8"/>
        <v>-4.1755386519880242E-2</v>
      </c>
      <c r="AR33" s="13"/>
      <c r="AS33" s="11" t="str">
        <f t="shared" si="21"/>
        <v>that.[r*] alone.[jj*] [i*]</v>
      </c>
      <c r="AT33" s="12">
        <v>0</v>
      </c>
      <c r="AU33" s="12"/>
      <c r="AV33" s="13">
        <f t="shared" si="9"/>
        <v>-1</v>
      </c>
      <c r="AW33" s="13"/>
      <c r="AX33" s="11" t="str">
        <f t="shared" si="22"/>
        <v>-a little alone.[jj*] PUNC</v>
      </c>
      <c r="AY33" s="12">
        <v>0</v>
      </c>
      <c r="AZ33" s="12"/>
      <c r="BA33" s="13">
        <f t="shared" si="10"/>
        <v>-1</v>
      </c>
      <c r="BB33" s="13"/>
      <c r="BC33" s="11" t="str">
        <f t="shared" si="23"/>
        <v>-a little.[r*] alone.[jj*] [i*]</v>
      </c>
      <c r="BD33" s="12">
        <v>0</v>
      </c>
      <c r="BE33" s="12"/>
      <c r="BF33" s="13">
        <f t="shared" si="11"/>
        <v>-1</v>
      </c>
      <c r="BG33" s="13"/>
      <c r="BH33" s="11" t="str">
        <f t="shared" si="24"/>
        <v>no alone.[jj*] PUNC</v>
      </c>
      <c r="BI33" s="12">
        <v>0</v>
      </c>
      <c r="BJ33" s="12">
        <v>1</v>
      </c>
      <c r="BK33" s="13">
        <f t="shared" si="12"/>
        <v>-1</v>
      </c>
      <c r="BL33" s="13"/>
      <c r="BM33" s="11" t="str">
        <f t="shared" si="25"/>
        <v>no alone.[jj*] [i*]</v>
      </c>
      <c r="BN33" s="12">
        <v>0</v>
      </c>
      <c r="BO33" s="12">
        <v>1</v>
      </c>
      <c r="BP33" s="13">
        <f t="shared" si="13"/>
        <v>-1</v>
      </c>
      <c r="BQ33" s="13"/>
      <c r="BR33" s="11" t="str">
        <f t="shared" si="26"/>
        <v>any alone.[jj*] PUNC</v>
      </c>
      <c r="BS33" s="12">
        <v>0</v>
      </c>
      <c r="BT33" s="12"/>
      <c r="BU33" s="13">
        <f t="shared" si="14"/>
        <v>-1</v>
      </c>
      <c r="BV33" s="13"/>
      <c r="BW33" s="11" t="str">
        <f t="shared" si="27"/>
        <v>any alone.[jj*] [i*]</v>
      </c>
      <c r="BX33" s="12">
        <v>0</v>
      </c>
      <c r="BY33" s="12"/>
      <c r="BZ33" s="13">
        <f t="shared" si="15"/>
        <v>-1</v>
      </c>
      <c r="CA33" s="13"/>
    </row>
    <row r="34" spans="1:79" x14ac:dyDescent="0.2">
      <c r="A34" s="14" t="s">
        <v>244</v>
      </c>
      <c r="B34" s="12">
        <v>63491</v>
      </c>
      <c r="C34" s="12">
        <v>4121</v>
      </c>
      <c r="D34" s="12">
        <v>40868</v>
      </c>
      <c r="E34" s="11" t="s">
        <v>255</v>
      </c>
      <c r="F34" s="12">
        <v>1</v>
      </c>
      <c r="G34" s="12"/>
      <c r="H34" s="13">
        <f t="shared" si="0"/>
        <v>-6.2646128371657339E-2</v>
      </c>
      <c r="I34" s="13"/>
      <c r="J34" s="13" t="str">
        <f t="shared" si="29"/>
        <v>-very much aware.[jj*] [i*]</v>
      </c>
      <c r="K34" s="12">
        <v>16</v>
      </c>
      <c r="L34" s="12">
        <v>2</v>
      </c>
      <c r="M34" s="13">
        <f t="shared" si="1"/>
        <v>-4.5677615218087636E-2</v>
      </c>
      <c r="N34" s="13"/>
      <c r="O34" s="13" t="str">
        <f t="shared" si="17"/>
        <v>more aware.[jj*] PUNC</v>
      </c>
      <c r="P34" s="12">
        <v>137</v>
      </c>
      <c r="Q34" s="12"/>
      <c r="R34" s="13">
        <f t="shared" si="2"/>
        <v>0.16951341372747539</v>
      </c>
      <c r="S34" s="13"/>
      <c r="T34" s="13" t="str">
        <f t="shared" si="28"/>
        <v>more aware.[jj*] [i*]</v>
      </c>
      <c r="U34" s="12">
        <v>1735</v>
      </c>
      <c r="V34" s="12">
        <v>1</v>
      </c>
      <c r="W34" s="13">
        <f t="shared" si="3"/>
        <v>0.22038158649368125</v>
      </c>
      <c r="X34" s="13"/>
      <c r="Y34" s="11" t="str">
        <f t="shared" si="30"/>
        <v>less aware.[jj*] PUNC</v>
      </c>
      <c r="Z34" s="12">
        <v>7</v>
      </c>
      <c r="AA34" s="12"/>
      <c r="AB34" s="13">
        <f t="shared" si="5"/>
        <v>8.5912083730507807E-2</v>
      </c>
      <c r="AC34" s="13"/>
      <c r="AD34" s="11" t="str">
        <f t="shared" si="18"/>
        <v>less aware.[jj*] [i*]</v>
      </c>
      <c r="AE34" s="12">
        <v>81</v>
      </c>
      <c r="AF34" s="12">
        <v>3</v>
      </c>
      <c r="AG34" s="13">
        <f t="shared" si="6"/>
        <v>0.10823961452352497</v>
      </c>
      <c r="AH34" s="13"/>
      <c r="AI34" s="11" t="str">
        <f t="shared" si="19"/>
        <v>aware.[jj*] enough</v>
      </c>
      <c r="AJ34" s="12">
        <v>85</v>
      </c>
      <c r="AK34" s="12"/>
      <c r="AL34" s="13">
        <f t="shared" si="7"/>
        <v>7.4916296274452843E-2</v>
      </c>
      <c r="AM34" s="13"/>
      <c r="AN34" s="11" t="str">
        <f t="shared" si="20"/>
        <v>that.[r*] aware.[jj*] PUNC</v>
      </c>
      <c r="AO34" s="12">
        <v>2</v>
      </c>
      <c r="AP34" s="12"/>
      <c r="AQ34" s="13">
        <f t="shared" si="8"/>
        <v>7.2931605294642543E-2</v>
      </c>
      <c r="AR34" s="13"/>
      <c r="AS34" s="11" t="str">
        <f t="shared" si="21"/>
        <v>that.[r*] aware.[jj*] [i*]</v>
      </c>
      <c r="AT34" s="12">
        <v>2</v>
      </c>
      <c r="AU34" s="12"/>
      <c r="AV34" s="13">
        <f t="shared" si="9"/>
        <v>-4.1591981908495605E-2</v>
      </c>
      <c r="AW34" s="13"/>
      <c r="AX34" s="11" t="str">
        <f t="shared" si="22"/>
        <v>-a little aware.[jj*] PUNC</v>
      </c>
      <c r="AY34" s="12">
        <v>1</v>
      </c>
      <c r="AZ34" s="12"/>
      <c r="BA34" s="13">
        <f t="shared" si="10"/>
        <v>-2.2024111608419255E-2</v>
      </c>
      <c r="BB34" s="13"/>
      <c r="BC34" s="11" t="str">
        <f t="shared" si="23"/>
        <v>-a little.[r*] aware.[jj*] [i*]</v>
      </c>
      <c r="BD34" s="12">
        <v>4</v>
      </c>
      <c r="BE34" s="12"/>
      <c r="BF34" s="13">
        <f t="shared" si="11"/>
        <v>-7.0550274234672181E-2</v>
      </c>
      <c r="BG34" s="13"/>
      <c r="BH34" s="11" t="str">
        <f t="shared" si="24"/>
        <v>no aware.[jj*] PUNC</v>
      </c>
      <c r="BI34" s="12">
        <v>0</v>
      </c>
      <c r="BJ34" s="12">
        <v>2</v>
      </c>
      <c r="BK34" s="13">
        <f t="shared" si="12"/>
        <v>-1</v>
      </c>
      <c r="BL34" s="13"/>
      <c r="BM34" s="11" t="str">
        <f t="shared" si="25"/>
        <v>no aware.[jj*] [i*]</v>
      </c>
      <c r="BN34" s="12">
        <v>0</v>
      </c>
      <c r="BO34" s="12"/>
      <c r="BP34" s="13">
        <f t="shared" si="13"/>
        <v>-1</v>
      </c>
      <c r="BQ34" s="13"/>
      <c r="BR34" s="11" t="str">
        <f t="shared" si="26"/>
        <v>any aware.[jj*] PUNC</v>
      </c>
      <c r="BS34" s="12">
        <v>0</v>
      </c>
      <c r="BT34" s="12"/>
      <c r="BU34" s="13">
        <f t="shared" si="14"/>
        <v>-1</v>
      </c>
      <c r="BV34" s="13"/>
      <c r="BW34" s="11" t="str">
        <f t="shared" si="27"/>
        <v>any aware.[jj*] [i*]</v>
      </c>
      <c r="BX34" s="12">
        <v>0</v>
      </c>
      <c r="BY34" s="12"/>
      <c r="BZ34" s="13">
        <f t="shared" si="15"/>
        <v>-1</v>
      </c>
      <c r="CA34" s="13"/>
    </row>
    <row r="35" spans="1:79" x14ac:dyDescent="0.2">
      <c r="A35" s="14" t="s">
        <v>245</v>
      </c>
      <c r="B35" s="12">
        <v>18829</v>
      </c>
      <c r="C35" s="12">
        <v>2955</v>
      </c>
      <c r="D35" s="12">
        <v>5688</v>
      </c>
      <c r="E35" s="11" t="s">
        <v>254</v>
      </c>
      <c r="F35" s="12">
        <v>4</v>
      </c>
      <c r="G35" s="12"/>
      <c r="H35" s="13">
        <f t="shared" si="0"/>
        <v>2.1741547443913094E-2</v>
      </c>
      <c r="I35" s="1">
        <f>AVERAGE(H35:H41)</f>
        <v>5.7594779844893432E-2</v>
      </c>
      <c r="J35" s="13" t="str">
        <f t="shared" si="29"/>
        <v>-very much pleased.[jj*] [i*]</v>
      </c>
      <c r="K35" s="12">
        <v>15</v>
      </c>
      <c r="L35" s="12"/>
      <c r="M35" s="13">
        <f t="shared" si="1"/>
        <v>6.03489904287378E-2</v>
      </c>
      <c r="N35" s="1">
        <f>AVERAGE(M35:M41)</f>
        <v>0.1522756772617076</v>
      </c>
      <c r="O35" s="13" t="str">
        <f t="shared" si="17"/>
        <v>more pleased.[jj*] PUNC</v>
      </c>
      <c r="P35" s="12">
        <v>47</v>
      </c>
      <c r="Q35" s="12"/>
      <c r="R35" s="13">
        <f t="shared" si="2"/>
        <v>0.1150818533176126</v>
      </c>
      <c r="S35" s="1">
        <f>AVERAGE(R35:R41)</f>
        <v>6.6386505184567263E-2</v>
      </c>
      <c r="T35" s="13" t="str">
        <f t="shared" si="28"/>
        <v>more pleased.[jj*] [i*]</v>
      </c>
      <c r="U35" s="12">
        <v>94</v>
      </c>
      <c r="V35" s="12"/>
      <c r="W35" s="13">
        <f t="shared" si="3"/>
        <v>0.12237696837016954</v>
      </c>
      <c r="X35" s="1">
        <f>AVERAGE(W35:W41)</f>
        <v>0.17272568061833918</v>
      </c>
      <c r="Y35" s="11" t="str">
        <f t="shared" si="30"/>
        <v>less pleased.[jj*] PUNC</v>
      </c>
      <c r="Z35" s="12">
        <v>8</v>
      </c>
      <c r="AA35" s="12"/>
      <c r="AB35" s="13">
        <f t="shared" si="5"/>
        <v>0.11152521105058091</v>
      </c>
      <c r="AC35" s="1">
        <f>AVERAGE(AB35:AB41)</f>
        <v>-6.9218545836672973E-2</v>
      </c>
      <c r="AD35" s="11" t="str">
        <f t="shared" si="18"/>
        <v>less pleased.[jj*] [i*]</v>
      </c>
      <c r="AE35" s="12">
        <v>12</v>
      </c>
      <c r="AF35" s="12"/>
      <c r="AG35" s="13">
        <f t="shared" si="6"/>
        <v>0.10033215080109342</v>
      </c>
      <c r="AH35" s="1">
        <f>AVERAGE(AG35:AG41)</f>
        <v>-0.32331970786221886</v>
      </c>
      <c r="AI35" s="11" t="str">
        <f t="shared" si="19"/>
        <v>pleased.[jj*] enough</v>
      </c>
      <c r="AJ35" s="12">
        <v>9</v>
      </c>
      <c r="AK35" s="12"/>
      <c r="AL35" s="13">
        <f t="shared" si="7"/>
        <v>1.0252767166955645E-2</v>
      </c>
      <c r="AM35" s="1">
        <f>AVERAGE(AL35:AL41)</f>
        <v>-0.27257617969196218</v>
      </c>
      <c r="AN35" s="11" t="str">
        <f t="shared" si="20"/>
        <v>that.[r*] pleased.[jj*] PUNC</v>
      </c>
      <c r="AO35" s="12">
        <v>1</v>
      </c>
      <c r="AP35" s="12"/>
      <c r="AQ35" s="13">
        <f t="shared" si="8"/>
        <v>5.3096648613961114E-2</v>
      </c>
      <c r="AR35" s="1">
        <f>AVERAGE(AQ35:AQ41)</f>
        <v>-0.32641931313223405</v>
      </c>
      <c r="AS35" s="11" t="str">
        <f t="shared" si="21"/>
        <v>that.[r*] pleased.[jj*] [i*]</v>
      </c>
      <c r="AT35" s="12">
        <v>0</v>
      </c>
      <c r="AU35" s="12"/>
      <c r="AV35" s="13">
        <f t="shared" si="9"/>
        <v>-1</v>
      </c>
      <c r="AW35" s="1">
        <f>AVERAGE(AV35:AV41)</f>
        <v>-0.54001080144712454</v>
      </c>
      <c r="AX35" s="11" t="str">
        <f t="shared" si="22"/>
        <v>-a little pleased.[jj*] PUNC</v>
      </c>
      <c r="AY35" s="12">
        <v>0</v>
      </c>
      <c r="AZ35" s="12"/>
      <c r="BA35" s="13">
        <f t="shared" si="10"/>
        <v>-1</v>
      </c>
      <c r="BB35" s="1">
        <f>AVERAGE(BA35:BA41)</f>
        <v>-0.59115226734866588</v>
      </c>
      <c r="BC35" s="11" t="str">
        <f t="shared" si="23"/>
        <v>-a little.[r*] pleased.[jj*] [i*]</v>
      </c>
      <c r="BD35" s="12">
        <v>0</v>
      </c>
      <c r="BE35" s="12"/>
      <c r="BF35" s="13">
        <f t="shared" si="11"/>
        <v>-1</v>
      </c>
      <c r="BG35" s="1">
        <f>AVERAGE(BF35:BF41)</f>
        <v>-0.58486814440909274</v>
      </c>
      <c r="BH35" s="11" t="str">
        <f t="shared" si="24"/>
        <v>no pleased.[jj*] PUNC</v>
      </c>
      <c r="BI35" s="12">
        <v>0</v>
      </c>
      <c r="BJ35" s="12"/>
      <c r="BK35" s="13">
        <f t="shared" si="12"/>
        <v>-1</v>
      </c>
      <c r="BL35" s="1">
        <f>AVERAGE(BK35:BK41)</f>
        <v>-1</v>
      </c>
      <c r="BM35" s="11" t="str">
        <f t="shared" si="25"/>
        <v>no pleased.[jj*] [i*]</v>
      </c>
      <c r="BN35" s="12">
        <v>0</v>
      </c>
      <c r="BO35" s="12"/>
      <c r="BP35" s="13">
        <f t="shared" si="13"/>
        <v>-1</v>
      </c>
      <c r="BQ35" s="1">
        <f>AVERAGE(BP35:BP41)</f>
        <v>-1</v>
      </c>
      <c r="BR35" s="11" t="str">
        <f t="shared" si="26"/>
        <v>any pleased.[jj*] PUNC</v>
      </c>
      <c r="BS35" s="12">
        <v>0</v>
      </c>
      <c r="BT35" s="12"/>
      <c r="BU35" s="13">
        <f t="shared" si="14"/>
        <v>-1</v>
      </c>
      <c r="BV35" s="1">
        <f>AVERAGE(BU35:BU41)</f>
        <v>-1</v>
      </c>
      <c r="BW35" s="11" t="str">
        <f t="shared" si="27"/>
        <v>any pleased.[jj*] [i*]</v>
      </c>
      <c r="BX35" s="12">
        <v>0</v>
      </c>
      <c r="BY35" s="12"/>
      <c r="BZ35" s="13">
        <f t="shared" si="15"/>
        <v>-1</v>
      </c>
      <c r="CA35" s="1">
        <f>AVERAGE(BZ35:BZ41)</f>
        <v>-1</v>
      </c>
    </row>
    <row r="36" spans="1:79" x14ac:dyDescent="0.2">
      <c r="A36" s="14" t="s">
        <v>252</v>
      </c>
      <c r="B36" s="12">
        <v>6151</v>
      </c>
      <c r="C36" s="12">
        <v>1020</v>
      </c>
      <c r="D36" s="12">
        <v>975</v>
      </c>
      <c r="E36" s="11" t="s">
        <v>253</v>
      </c>
      <c r="F36" s="12">
        <v>1</v>
      </c>
      <c r="G36" s="12"/>
      <c r="H36" s="13">
        <f t="shared" si="0"/>
        <v>4.7225401534759723E-3</v>
      </c>
      <c r="I36" s="13"/>
      <c r="J36" s="13" t="str">
        <f t="shared" si="29"/>
        <v>-very much delighted.[jj*] [i*]</v>
      </c>
      <c r="K36" s="12">
        <v>6</v>
      </c>
      <c r="L36" s="12"/>
      <c r="M36" s="13">
        <f t="shared" si="1"/>
        <v>0.10218231414521213</v>
      </c>
      <c r="N36" s="13"/>
      <c r="O36" s="13" t="str">
        <f t="shared" si="17"/>
        <v>more delighted.[jj*] PUNC</v>
      </c>
      <c r="P36" s="12">
        <v>11</v>
      </c>
      <c r="Q36" s="12"/>
      <c r="R36" s="13">
        <f t="shared" si="2"/>
        <v>8.4763410020405841E-2</v>
      </c>
      <c r="S36" s="13"/>
      <c r="T36" s="13" t="str">
        <f t="shared" si="28"/>
        <v>more delighted.[jj*] [i*]</v>
      </c>
      <c r="U36" s="12">
        <v>14</v>
      </c>
      <c r="V36" s="12"/>
      <c r="W36" s="13">
        <f t="shared" si="3"/>
        <v>0.10172159074342912</v>
      </c>
      <c r="X36" s="13"/>
      <c r="Y36" s="11" t="str">
        <f t="shared" si="30"/>
        <v>less delighted.[jj*] PUNC</v>
      </c>
      <c r="Z36" s="12">
        <v>1</v>
      </c>
      <c r="AA36" s="12"/>
      <c r="AB36" s="13">
        <f t="shared" si="5"/>
        <v>5.1328040364157217E-2</v>
      </c>
      <c r="AC36" s="13"/>
      <c r="AD36" s="11" t="str">
        <f t="shared" si="18"/>
        <v>less delighted.[jj*] [i*]</v>
      </c>
      <c r="AE36" s="12">
        <v>0</v>
      </c>
      <c r="AF36" s="12"/>
      <c r="AG36" s="13">
        <f t="shared" si="6"/>
        <v>-1</v>
      </c>
      <c r="AH36" s="13"/>
      <c r="AI36" s="11" t="str">
        <f t="shared" si="19"/>
        <v>delighted.[jj*] enough</v>
      </c>
      <c r="AJ36" s="12">
        <v>0</v>
      </c>
      <c r="AK36" s="12"/>
      <c r="AL36" s="13">
        <f t="shared" si="7"/>
        <v>-1</v>
      </c>
      <c r="AM36" s="13"/>
      <c r="AN36" s="11" t="str">
        <f t="shared" si="20"/>
        <v>that.[r*] delighted.[jj*] PUNC</v>
      </c>
      <c r="AO36" s="12">
        <v>0</v>
      </c>
      <c r="AP36" s="12"/>
      <c r="AQ36" s="13">
        <f t="shared" si="8"/>
        <v>-1</v>
      </c>
      <c r="AR36" s="13"/>
      <c r="AS36" s="11" t="str">
        <f t="shared" si="21"/>
        <v>that.[r*] delighted.[jj*] [i*]</v>
      </c>
      <c r="AT36" s="12">
        <v>0</v>
      </c>
      <c r="AU36" s="12"/>
      <c r="AV36" s="13">
        <f t="shared" si="9"/>
        <v>-1</v>
      </c>
      <c r="AW36" s="13"/>
      <c r="AX36" s="11" t="str">
        <f t="shared" si="22"/>
        <v>-a little delighted.[jj*] PUNC</v>
      </c>
      <c r="AY36" s="12">
        <v>0</v>
      </c>
      <c r="AZ36" s="12"/>
      <c r="BA36" s="13">
        <f t="shared" si="10"/>
        <v>-1</v>
      </c>
      <c r="BB36" s="13"/>
      <c r="BC36" s="11" t="str">
        <f t="shared" si="23"/>
        <v>-a little.[r*] delighted.[jj*] [i*]</v>
      </c>
      <c r="BD36" s="12">
        <v>0</v>
      </c>
      <c r="BE36" s="12"/>
      <c r="BF36" s="13">
        <f t="shared" si="11"/>
        <v>-1</v>
      </c>
      <c r="BG36" s="13"/>
      <c r="BH36" s="11" t="str">
        <f t="shared" si="24"/>
        <v>no delighted.[jj*] PUNC</v>
      </c>
      <c r="BI36" s="12">
        <v>0</v>
      </c>
      <c r="BJ36" s="12"/>
      <c r="BK36" s="13">
        <f t="shared" si="12"/>
        <v>-1</v>
      </c>
      <c r="BL36" s="13"/>
      <c r="BM36" s="11" t="str">
        <f t="shared" si="25"/>
        <v>no delighted.[jj*] [i*]</v>
      </c>
      <c r="BN36" s="12">
        <v>0</v>
      </c>
      <c r="BO36" s="12"/>
      <c r="BP36" s="13">
        <f t="shared" si="13"/>
        <v>-1</v>
      </c>
      <c r="BQ36" s="13"/>
      <c r="BR36" s="11" t="str">
        <f t="shared" si="26"/>
        <v>any delighted.[jj*] PUNC</v>
      </c>
      <c r="BS36" s="12">
        <v>0</v>
      </c>
      <c r="BT36" s="12"/>
      <c r="BU36" s="13">
        <f t="shared" si="14"/>
        <v>-1</v>
      </c>
      <c r="BV36" s="13"/>
      <c r="BW36" s="11" t="str">
        <f t="shared" si="27"/>
        <v>any delighted.[jj*] [i*]</v>
      </c>
      <c r="BX36" s="12">
        <v>0</v>
      </c>
      <c r="BY36" s="12"/>
      <c r="BZ36" s="13">
        <f t="shared" si="15"/>
        <v>-1</v>
      </c>
      <c r="CA36" s="13"/>
    </row>
    <row r="37" spans="1:79" x14ac:dyDescent="0.2">
      <c r="A37" s="14" t="s">
        <v>241</v>
      </c>
      <c r="B37" s="12">
        <v>72310</v>
      </c>
      <c r="C37" s="12">
        <v>17503</v>
      </c>
      <c r="D37" s="12">
        <v>36676</v>
      </c>
      <c r="E37" s="11" t="s">
        <v>256</v>
      </c>
      <c r="F37" s="12">
        <v>7</v>
      </c>
      <c r="G37" s="12">
        <v>2</v>
      </c>
      <c r="H37" s="13">
        <f t="shared" si="0"/>
        <v>-4.2532969861964837E-2</v>
      </c>
      <c r="I37" s="13"/>
      <c r="J37" s="13" t="str">
        <f t="shared" si="29"/>
        <v>-very much concerned.[jj*] [i*]</v>
      </c>
      <c r="K37" s="12">
        <v>122</v>
      </c>
      <c r="L37" s="12"/>
      <c r="M37" s="13">
        <f t="shared" si="1"/>
        <v>8.2877173642264892E-2</v>
      </c>
      <c r="N37" s="13"/>
      <c r="O37" s="13" t="str">
        <f t="shared" si="17"/>
        <v>more concerned.[jj*] PUNC</v>
      </c>
      <c r="P37" s="12">
        <v>102</v>
      </c>
      <c r="Q37" s="12">
        <v>1</v>
      </c>
      <c r="R37" s="13">
        <f t="shared" si="2"/>
        <v>5.8261161294285234E-2</v>
      </c>
      <c r="S37" s="13"/>
      <c r="T37" s="13" t="str">
        <f t="shared" si="28"/>
        <v>more concerned.[jj*] [i*]</v>
      </c>
      <c r="U37" s="12">
        <v>3465</v>
      </c>
      <c r="V37" s="12"/>
      <c r="W37" s="13">
        <f t="shared" si="3"/>
        <v>0.29611258612306923</v>
      </c>
      <c r="X37" s="13"/>
      <c r="Y37" s="11" t="str">
        <f t="shared" si="30"/>
        <v>less concerned.[jj*] PUNC</v>
      </c>
      <c r="Z37" s="12">
        <v>18</v>
      </c>
      <c r="AA37" s="12"/>
      <c r="AB37" s="13">
        <f t="shared" si="5"/>
        <v>6.2326113468703419E-2</v>
      </c>
      <c r="AC37" s="13"/>
      <c r="AD37" s="11" t="str">
        <f t="shared" si="18"/>
        <v>less concerned.[jj*] [i*]</v>
      </c>
      <c r="AE37" s="12">
        <v>665</v>
      </c>
      <c r="AF37" s="12">
        <v>3</v>
      </c>
      <c r="AG37" s="13">
        <f t="shared" si="6"/>
        <v>0.2798536370538906</v>
      </c>
      <c r="AH37" s="13"/>
      <c r="AI37" s="11" t="str">
        <f t="shared" si="19"/>
        <v>concerned.[jj*] enough</v>
      </c>
      <c r="AJ37" s="12">
        <v>132</v>
      </c>
      <c r="AK37" s="12"/>
      <c r="AL37" s="13">
        <f t="shared" si="7"/>
        <v>9.6569599773399031E-2</v>
      </c>
      <c r="AM37" s="13"/>
      <c r="AN37" s="11" t="str">
        <f t="shared" si="20"/>
        <v>that.[r*] concerned.[jj*] PUNC</v>
      </c>
      <c r="AO37" s="12">
        <v>29</v>
      </c>
      <c r="AP37" s="12"/>
      <c r="AQ37" s="13">
        <f t="shared" si="8"/>
        <v>0.15490141909356719</v>
      </c>
      <c r="AR37" s="13"/>
      <c r="AS37" s="11" t="str">
        <f t="shared" si="21"/>
        <v>that.[r*] concerned.[jj*] [i*]</v>
      </c>
      <c r="AT37" s="12">
        <v>17</v>
      </c>
      <c r="AU37" s="12"/>
      <c r="AV37" s="13">
        <f t="shared" si="9"/>
        <v>7.9085870509001746E-2</v>
      </c>
      <c r="AW37" s="13"/>
      <c r="AX37" s="11" t="str">
        <f t="shared" si="22"/>
        <v>-a little concerned.[jj*] PUNC</v>
      </c>
      <c r="AY37" s="12">
        <v>1</v>
      </c>
      <c r="AZ37" s="12">
        <v>1</v>
      </c>
      <c r="BA37" s="13">
        <f t="shared" si="10"/>
        <v>-9.1804381610830307E-2</v>
      </c>
      <c r="BB37" s="13"/>
      <c r="BC37" s="11" t="str">
        <f t="shared" si="23"/>
        <v>-a little.[r*] concerned.[jj*] [i*]</v>
      </c>
      <c r="BD37" s="12">
        <v>15</v>
      </c>
      <c r="BE37" s="12">
        <v>4</v>
      </c>
      <c r="BF37" s="13">
        <f t="shared" si="11"/>
        <v>3.6379189069135308E-3</v>
      </c>
      <c r="BG37" s="13"/>
      <c r="BH37" s="11" t="str">
        <f t="shared" si="24"/>
        <v>no concerned.[jj*] PUNC</v>
      </c>
      <c r="BI37" s="12">
        <v>0</v>
      </c>
      <c r="BJ37" s="12"/>
      <c r="BK37" s="13">
        <f t="shared" si="12"/>
        <v>-1</v>
      </c>
      <c r="BL37" s="13"/>
      <c r="BM37" s="11" t="str">
        <f t="shared" si="25"/>
        <v>no concerned.[jj*] [i*]</v>
      </c>
      <c r="BN37" s="12">
        <v>0</v>
      </c>
      <c r="BO37" s="12">
        <v>1</v>
      </c>
      <c r="BP37" s="13">
        <f t="shared" si="13"/>
        <v>-1</v>
      </c>
      <c r="BQ37" s="13"/>
      <c r="BR37" s="11" t="str">
        <f t="shared" si="26"/>
        <v>any concerned.[jj*] PUNC</v>
      </c>
      <c r="BS37" s="12">
        <v>0</v>
      </c>
      <c r="BT37" s="12"/>
      <c r="BU37" s="13">
        <f t="shared" si="14"/>
        <v>-1</v>
      </c>
      <c r="BV37" s="13"/>
      <c r="BW37" s="11" t="str">
        <f t="shared" si="27"/>
        <v>any concerned.[jj*] [i*]</v>
      </c>
      <c r="BX37" s="12">
        <v>0</v>
      </c>
      <c r="BY37" s="12"/>
      <c r="BZ37" s="13">
        <f t="shared" si="15"/>
        <v>-1</v>
      </c>
      <c r="CA37" s="13"/>
    </row>
    <row r="38" spans="1:79" x14ac:dyDescent="0.2">
      <c r="A38" s="14" t="s">
        <v>242</v>
      </c>
      <c r="B38" s="12">
        <v>13854</v>
      </c>
      <c r="C38" s="12">
        <v>1793</v>
      </c>
      <c r="D38" s="12">
        <v>1024</v>
      </c>
      <c r="E38" s="11" t="s">
        <v>257</v>
      </c>
      <c r="F38" s="12">
        <v>133</v>
      </c>
      <c r="G38" s="12"/>
      <c r="H38" s="13">
        <f t="shared" si="0"/>
        <v>0.27937590787565303</v>
      </c>
      <c r="I38" s="13"/>
      <c r="J38" s="13" t="str">
        <f t="shared" si="29"/>
        <v>-very much beloved.[jj*] [i*]</v>
      </c>
      <c r="K38" s="12">
        <v>30</v>
      </c>
      <c r="L38" s="12"/>
      <c r="M38" s="13">
        <f t="shared" si="1"/>
        <v>0.20174157785346736</v>
      </c>
      <c r="N38" s="13"/>
      <c r="O38" s="13" t="str">
        <f t="shared" si="17"/>
        <v>more beloved.[jj*] PUNC</v>
      </c>
      <c r="P38" s="12">
        <v>2</v>
      </c>
      <c r="Q38" s="12"/>
      <c r="R38" s="13">
        <f t="shared" si="2"/>
        <v>-3.5704588279127224E-2</v>
      </c>
      <c r="S38" s="13"/>
      <c r="T38" s="13" t="str">
        <f t="shared" si="28"/>
        <v>more beloved.[jj*] [i*]</v>
      </c>
      <c r="U38" s="12">
        <v>11</v>
      </c>
      <c r="V38" s="12"/>
      <c r="W38" s="13">
        <f t="shared" si="3"/>
        <v>8.4549865464452131E-2</v>
      </c>
      <c r="X38" s="13"/>
      <c r="Y38" s="11" t="str">
        <f t="shared" si="30"/>
        <v>less beloved.[jj*] PUNC</v>
      </c>
      <c r="Z38" s="12">
        <v>3</v>
      </c>
      <c r="AA38" s="12"/>
      <c r="AB38" s="13">
        <f t="shared" si="5"/>
        <v>8.1434429819059434E-2</v>
      </c>
      <c r="AC38" s="13"/>
      <c r="AD38" s="11" t="str">
        <f t="shared" si="18"/>
        <v>less beloved.[jj*] [i*]</v>
      </c>
      <c r="AE38" s="12">
        <v>0</v>
      </c>
      <c r="AF38" s="12"/>
      <c r="AG38" s="13">
        <f t="shared" si="6"/>
        <v>-1</v>
      </c>
      <c r="AH38" s="13"/>
      <c r="AI38" s="11" t="str">
        <f t="shared" si="19"/>
        <v>beloved.[jj*] enough</v>
      </c>
      <c r="AJ38" s="12">
        <v>0</v>
      </c>
      <c r="AK38" s="12"/>
      <c r="AL38" s="13">
        <f t="shared" si="7"/>
        <v>-1</v>
      </c>
      <c r="AM38" s="13"/>
      <c r="AN38" s="11" t="str">
        <f t="shared" si="20"/>
        <v>that.[r*] beloved.[jj*] PUNC</v>
      </c>
      <c r="AO38" s="12">
        <v>0</v>
      </c>
      <c r="AP38" s="12"/>
      <c r="AQ38" s="13">
        <f t="shared" si="8"/>
        <v>-1</v>
      </c>
      <c r="AR38" s="13"/>
      <c r="AS38" s="11" t="str">
        <f t="shared" si="21"/>
        <v>that.[r*] beloved.[jj*] [i*]</v>
      </c>
      <c r="AT38" s="12">
        <v>0</v>
      </c>
      <c r="AU38" s="12"/>
      <c r="AV38" s="13">
        <f t="shared" si="9"/>
        <v>-1</v>
      </c>
      <c r="AW38" s="13"/>
      <c r="AX38" s="11" t="str">
        <f t="shared" si="22"/>
        <v>-a little beloved.[jj*] PUNC</v>
      </c>
      <c r="AY38" s="12">
        <v>0</v>
      </c>
      <c r="AZ38" s="12"/>
      <c r="BA38" s="13">
        <f t="shared" si="10"/>
        <v>-1</v>
      </c>
      <c r="BB38" s="13"/>
      <c r="BC38" s="11" t="str">
        <f t="shared" si="23"/>
        <v>-a little.[r*] beloved.[jj*] [i*]</v>
      </c>
      <c r="BD38" s="12">
        <v>0</v>
      </c>
      <c r="BE38" s="12"/>
      <c r="BF38" s="13">
        <f t="shared" si="11"/>
        <v>-1</v>
      </c>
      <c r="BG38" s="13"/>
      <c r="BH38" s="11" t="str">
        <f t="shared" si="24"/>
        <v>no beloved.[jj*] PUNC</v>
      </c>
      <c r="BI38" s="12">
        <v>0</v>
      </c>
      <c r="BJ38" s="12"/>
      <c r="BK38" s="13">
        <f t="shared" si="12"/>
        <v>-1</v>
      </c>
      <c r="BL38" s="13"/>
      <c r="BM38" s="11" t="str">
        <f t="shared" si="25"/>
        <v>no beloved.[jj*] [i*]</v>
      </c>
      <c r="BN38" s="12">
        <v>0</v>
      </c>
      <c r="BO38" s="12"/>
      <c r="BP38" s="13">
        <f t="shared" si="13"/>
        <v>-1</v>
      </c>
      <c r="BQ38" s="13"/>
      <c r="BR38" s="11" t="str">
        <f t="shared" si="26"/>
        <v>any beloved.[jj*] PUNC</v>
      </c>
      <c r="BS38" s="12">
        <v>0</v>
      </c>
      <c r="BT38" s="12"/>
      <c r="BU38" s="13">
        <f t="shared" si="14"/>
        <v>-1</v>
      </c>
      <c r="BV38" s="13"/>
      <c r="BW38" s="11" t="str">
        <f t="shared" si="27"/>
        <v>any beloved.[jj*] [i*]</v>
      </c>
      <c r="BX38" s="12">
        <v>0</v>
      </c>
      <c r="BY38" s="12"/>
      <c r="BZ38" s="13">
        <f t="shared" si="15"/>
        <v>-1</v>
      </c>
      <c r="CA38" s="13"/>
    </row>
    <row r="39" spans="1:79" x14ac:dyDescent="0.2">
      <c r="A39" s="11" t="s">
        <v>60</v>
      </c>
      <c r="B39" s="12">
        <v>14168</v>
      </c>
      <c r="C39" s="12">
        <v>423</v>
      </c>
      <c r="D39" s="12">
        <v>40</v>
      </c>
      <c r="E39" s="11" t="s">
        <v>238</v>
      </c>
      <c r="F39" s="12">
        <v>2</v>
      </c>
      <c r="G39" s="12"/>
      <c r="H39" s="13">
        <f t="shared" si="0"/>
        <v>8.3422983883953569E-2</v>
      </c>
      <c r="I39" s="13"/>
      <c r="J39" s="13" t="str">
        <f>_xlfn.CONCAT("-very much ",A39," [i*]")</f>
        <v>-very much improved [i*]</v>
      </c>
      <c r="K39" s="12">
        <v>105</v>
      </c>
      <c r="L39" s="12"/>
      <c r="M39" s="13">
        <f t="shared" si="1"/>
        <v>0.49716425396620129</v>
      </c>
      <c r="N39" s="13"/>
      <c r="O39" s="13" t="str">
        <f t="shared" si="17"/>
        <v>more improved.[jj*] PUNC</v>
      </c>
      <c r="P39" s="12">
        <v>8</v>
      </c>
      <c r="Q39" s="12"/>
      <c r="R39" s="13">
        <f t="shared" si="2"/>
        <v>0.11344078931763465</v>
      </c>
      <c r="S39" s="13"/>
      <c r="T39" s="13" t="str">
        <f>_xlfn.CONCAT("more ",$A39," [i*]")</f>
        <v>more improved [i*]</v>
      </c>
      <c r="U39" s="12">
        <v>7</v>
      </c>
      <c r="V39" s="12"/>
      <c r="W39" s="13">
        <f t="shared" si="3"/>
        <v>0.23110772412539404</v>
      </c>
      <c r="X39" s="13"/>
      <c r="Y39" s="11" t="str">
        <f t="shared" si="30"/>
        <v>less improved.[jj*] PUNC</v>
      </c>
      <c r="Z39" s="12">
        <v>0</v>
      </c>
      <c r="AA39" s="12">
        <v>1</v>
      </c>
      <c r="AB39" s="13">
        <f t="shared" si="5"/>
        <v>-1</v>
      </c>
      <c r="AC39" s="13"/>
      <c r="AD39" s="11" t="str">
        <f t="shared" si="18"/>
        <v>less improved.[jj*] [i*]</v>
      </c>
      <c r="AE39" s="12">
        <v>0</v>
      </c>
      <c r="AF39" s="12"/>
      <c r="AG39" s="13">
        <f t="shared" si="6"/>
        <v>-1</v>
      </c>
      <c r="AH39" s="13"/>
      <c r="AI39" s="11" t="str">
        <f t="shared" si="19"/>
        <v>improved.[jj*] enough</v>
      </c>
      <c r="AJ39" s="12">
        <v>1</v>
      </c>
      <c r="AK39" s="12"/>
      <c r="AL39" s="13">
        <f t="shared" si="7"/>
        <v>-8.3123944975587186E-2</v>
      </c>
      <c r="AM39" s="13"/>
      <c r="AN39" s="11" t="str">
        <f t="shared" si="20"/>
        <v>that.[r*] improved.[jj*] PUNC</v>
      </c>
      <c r="AO39" s="12">
        <v>0</v>
      </c>
      <c r="AP39" s="12">
        <v>1</v>
      </c>
      <c r="AQ39" s="13">
        <f t="shared" si="8"/>
        <v>-1</v>
      </c>
      <c r="AR39" s="13"/>
      <c r="AS39" s="11" t="str">
        <f t="shared" si="21"/>
        <v>that.[r*] improved.[jj*] [i*]</v>
      </c>
      <c r="AT39" s="12">
        <v>0</v>
      </c>
      <c r="AU39" s="12"/>
      <c r="AV39" s="13">
        <f t="shared" si="9"/>
        <v>-1</v>
      </c>
      <c r="AW39" s="13"/>
      <c r="AX39" s="11" t="str">
        <f t="shared" si="22"/>
        <v>-a little improved.[jj*] PUNC</v>
      </c>
      <c r="AY39" s="12">
        <v>0</v>
      </c>
      <c r="AZ39" s="12"/>
      <c r="BA39" s="13">
        <f t="shared" si="10"/>
        <v>-1</v>
      </c>
      <c r="BB39" s="13"/>
      <c r="BC39" s="11" t="str">
        <f t="shared" si="23"/>
        <v>-a little.[r*] improved.[jj*] [i*]</v>
      </c>
      <c r="BD39" s="12">
        <v>0</v>
      </c>
      <c r="BE39" s="12"/>
      <c r="BF39" s="13">
        <f t="shared" si="11"/>
        <v>-1</v>
      </c>
      <c r="BG39" s="13"/>
      <c r="BH39" s="11" t="str">
        <f t="shared" si="24"/>
        <v>no improved.[jj*] PUNC</v>
      </c>
      <c r="BI39" s="12">
        <v>0</v>
      </c>
      <c r="BJ39" s="12"/>
      <c r="BK39" s="13">
        <f t="shared" si="12"/>
        <v>-1</v>
      </c>
      <c r="BL39" s="13"/>
      <c r="BM39" s="11" t="str">
        <f t="shared" si="25"/>
        <v>no improved.[jj*] [i*]</v>
      </c>
      <c r="BN39" s="12">
        <v>0</v>
      </c>
      <c r="BO39" s="12"/>
      <c r="BP39" s="13">
        <f t="shared" si="13"/>
        <v>-1</v>
      </c>
      <c r="BQ39" s="13"/>
      <c r="BR39" s="11" t="str">
        <f t="shared" si="26"/>
        <v>any improved.[jj*] PUNC</v>
      </c>
      <c r="BS39" s="12">
        <v>0</v>
      </c>
      <c r="BT39" s="12"/>
      <c r="BU39" s="13">
        <f t="shared" si="14"/>
        <v>-1</v>
      </c>
      <c r="BV39" s="13"/>
      <c r="BW39" s="11" t="str">
        <f t="shared" si="27"/>
        <v>any improved.[jj*] [i*]</v>
      </c>
      <c r="BX39" s="12">
        <v>0</v>
      </c>
      <c r="BY39" s="12"/>
      <c r="BZ39" s="13">
        <f t="shared" si="15"/>
        <v>-1</v>
      </c>
      <c r="CA39" s="13"/>
    </row>
    <row r="40" spans="1:79" x14ac:dyDescent="0.2">
      <c r="A40" s="14" t="s">
        <v>240</v>
      </c>
      <c r="B40" s="12">
        <v>77634</v>
      </c>
      <c r="C40" s="12">
        <v>9107</v>
      </c>
      <c r="D40" s="12">
        <v>59217</v>
      </c>
      <c r="E40" s="11" t="s">
        <v>258</v>
      </c>
      <c r="F40" s="12">
        <v>15</v>
      </c>
      <c r="G40" s="12"/>
      <c r="H40" s="13">
        <f t="shared" si="0"/>
        <v>3.4226112647578834E-2</v>
      </c>
      <c r="I40" s="13"/>
      <c r="J40" s="13" t="str">
        <f>_xlfn.CONCAT("-very much ",A40,".[jj*] [i*]")</f>
        <v>-very much interested.[jj*] [i*]</v>
      </c>
      <c r="K40" s="12">
        <v>229</v>
      </c>
      <c r="L40" s="12">
        <v>2</v>
      </c>
      <c r="M40" s="13">
        <f t="shared" si="1"/>
        <v>9.6138815485796808E-2</v>
      </c>
      <c r="N40" s="13"/>
      <c r="O40" s="13" t="str">
        <f t="shared" si="17"/>
        <v>more interested.[jj*] PUNC</v>
      </c>
      <c r="P40" s="12">
        <v>104</v>
      </c>
      <c r="Q40" s="12">
        <v>1</v>
      </c>
      <c r="R40" s="13">
        <f t="shared" si="2"/>
        <v>0.10016443123080465</v>
      </c>
      <c r="S40" s="13"/>
      <c r="T40" s="13" t="str">
        <f t="shared" si="28"/>
        <v>more interested.[jj*] [i*]</v>
      </c>
      <c r="U40" s="12">
        <v>4502</v>
      </c>
      <c r="V40" s="12"/>
      <c r="W40" s="13">
        <f t="shared" si="3"/>
        <v>0.28476343754088579</v>
      </c>
      <c r="X40" s="13"/>
      <c r="Y40" s="11" t="str">
        <f t="shared" si="30"/>
        <v>less interested.[jj*] PUNC</v>
      </c>
      <c r="Z40" s="12">
        <v>35</v>
      </c>
      <c r="AA40" s="12"/>
      <c r="AB40" s="13">
        <f t="shared" si="5"/>
        <v>0.14151580597696417</v>
      </c>
      <c r="AC40" s="13"/>
      <c r="AD40" s="11" t="str">
        <f t="shared" si="18"/>
        <v>less interested.[jj*] [i*]</v>
      </c>
      <c r="AE40" s="12">
        <v>669</v>
      </c>
      <c r="AF40" s="12">
        <v>3</v>
      </c>
      <c r="AG40" s="13">
        <f t="shared" si="6"/>
        <v>0.24670324414154493</v>
      </c>
      <c r="AH40" s="13"/>
      <c r="AI40" s="11" t="str">
        <f t="shared" si="19"/>
        <v>interested.[jj*] enough</v>
      </c>
      <c r="AJ40" s="12">
        <v>165</v>
      </c>
      <c r="AK40" s="12"/>
      <c r="AL40" s="13">
        <f t="shared" si="7"/>
        <v>0.10768657172245288</v>
      </c>
      <c r="AM40" s="13"/>
      <c r="AN40" s="11" t="str">
        <f t="shared" si="20"/>
        <v>that.[r*] interested.[jj*] PUNC</v>
      </c>
      <c r="AO40" s="12">
        <v>66</v>
      </c>
      <c r="AP40" s="12"/>
      <c r="AQ40" s="13">
        <f t="shared" si="8"/>
        <v>0.25184289657865111</v>
      </c>
      <c r="AR40" s="13"/>
      <c r="AS40" s="11" t="str">
        <f t="shared" si="21"/>
        <v>that.[r*] interested.[jj*] [i*]</v>
      </c>
      <c r="AT40" s="12">
        <v>24</v>
      </c>
      <c r="AU40" s="12"/>
      <c r="AV40" s="13">
        <f t="shared" si="9"/>
        <v>7.298984923172222E-2</v>
      </c>
      <c r="AW40" s="13"/>
      <c r="AX40" s="11" t="str">
        <f t="shared" si="22"/>
        <v>-a little interested.[jj*] PUNC</v>
      </c>
      <c r="AY40" s="12">
        <v>3</v>
      </c>
      <c r="AZ40" s="12"/>
      <c r="BA40" s="13">
        <f t="shared" si="10"/>
        <v>-7.6836061154164862E-3</v>
      </c>
      <c r="BB40" s="13"/>
      <c r="BC40" s="11" t="str">
        <f t="shared" si="23"/>
        <v>-a little.[r*] interested.[jj*] [i*]</v>
      </c>
      <c r="BD40" s="12">
        <v>9</v>
      </c>
      <c r="BE40" s="12">
        <v>1</v>
      </c>
      <c r="BF40" s="13">
        <f t="shared" si="11"/>
        <v>-4.9887579187451736E-2</v>
      </c>
      <c r="BG40" s="13"/>
      <c r="BH40" s="11" t="str">
        <f t="shared" si="24"/>
        <v>no interested.[jj*] PUNC</v>
      </c>
      <c r="BI40" s="12">
        <v>0</v>
      </c>
      <c r="BJ40" s="12"/>
      <c r="BK40" s="13">
        <f t="shared" si="12"/>
        <v>-1</v>
      </c>
      <c r="BL40" s="13"/>
      <c r="BM40" s="11" t="str">
        <f t="shared" si="25"/>
        <v>no interested.[jj*] [i*]</v>
      </c>
      <c r="BN40" s="12">
        <v>0</v>
      </c>
      <c r="BO40" s="12">
        <v>9</v>
      </c>
      <c r="BP40" s="13">
        <f t="shared" si="13"/>
        <v>-1</v>
      </c>
      <c r="BQ40" s="13"/>
      <c r="BR40" s="11" t="str">
        <f t="shared" si="26"/>
        <v>any interested.[jj*] PUNC</v>
      </c>
      <c r="BS40" s="12">
        <v>0</v>
      </c>
      <c r="BT40" s="12">
        <v>4</v>
      </c>
      <c r="BU40" s="13">
        <f t="shared" si="14"/>
        <v>-1</v>
      </c>
      <c r="BV40" s="13"/>
      <c r="BW40" s="11" t="str">
        <f t="shared" si="27"/>
        <v>any interested.[jj*] [i*]</v>
      </c>
      <c r="BX40" s="12">
        <v>0</v>
      </c>
      <c r="BY40" s="12">
        <v>1</v>
      </c>
      <c r="BZ40" s="13">
        <f t="shared" si="15"/>
        <v>-1</v>
      </c>
      <c r="CA40" s="13"/>
    </row>
    <row r="41" spans="1:79" x14ac:dyDescent="0.2">
      <c r="A41" s="14" t="s">
        <v>243</v>
      </c>
      <c r="B41" s="12">
        <v>47264</v>
      </c>
      <c r="C41" s="12">
        <v>11309</v>
      </c>
      <c r="D41" s="12">
        <v>7035</v>
      </c>
      <c r="E41" s="11" t="s">
        <v>259</v>
      </c>
      <c r="F41" s="12">
        <v>15</v>
      </c>
      <c r="G41" s="12"/>
      <c r="H41" s="13">
        <f t="shared" si="0"/>
        <v>2.2207336771644302E-2</v>
      </c>
      <c r="I41" s="13"/>
      <c r="J41" s="13" t="str">
        <f>_xlfn.CONCAT("-very much ",A41,".[jj*] [i*]")</f>
        <v>-very much surprised.[jj*] [i*]</v>
      </c>
      <c r="K41" s="12">
        <v>10</v>
      </c>
      <c r="L41" s="12"/>
      <c r="M41" s="13">
        <f t="shared" si="1"/>
        <v>2.5476615310273072E-2</v>
      </c>
      <c r="N41" s="13"/>
      <c r="O41" s="13" t="str">
        <f t="shared" si="17"/>
        <v>more surprised.[jj*] PUNC</v>
      </c>
      <c r="P41" s="12">
        <v>42</v>
      </c>
      <c r="Q41" s="12"/>
      <c r="R41" s="13">
        <f t="shared" si="2"/>
        <v>2.8698479390355157E-2</v>
      </c>
      <c r="S41" s="13"/>
      <c r="T41" s="13" t="str">
        <f t="shared" si="28"/>
        <v>more surprised.[jj*] [i*]</v>
      </c>
      <c r="U41" s="12">
        <v>69</v>
      </c>
      <c r="V41" s="12"/>
      <c r="W41" s="13">
        <f t="shared" si="3"/>
        <v>8.8447591960974445E-2</v>
      </c>
      <c r="X41" s="13"/>
      <c r="Y41" s="11" t="str">
        <f t="shared" si="30"/>
        <v>less surprised.[jj*] PUNC</v>
      </c>
      <c r="Z41" s="12">
        <v>13</v>
      </c>
      <c r="AA41" s="12"/>
      <c r="AB41" s="13">
        <f t="shared" si="5"/>
        <v>6.7340578463824116E-2</v>
      </c>
      <c r="AC41" s="13"/>
      <c r="AD41" s="11" t="str">
        <f t="shared" si="18"/>
        <v>less surprised.[jj*] [i*]</v>
      </c>
      <c r="AE41" s="12">
        <v>17</v>
      </c>
      <c r="AF41" s="12"/>
      <c r="AG41" s="13">
        <f t="shared" si="6"/>
        <v>0.10987301296793907</v>
      </c>
      <c r="AH41" s="13"/>
      <c r="AI41" s="11" t="str">
        <f t="shared" si="19"/>
        <v>surprised.[jj*] enough</v>
      </c>
      <c r="AJ41" s="12">
        <v>9</v>
      </c>
      <c r="AK41" s="12"/>
      <c r="AL41" s="13">
        <f t="shared" si="7"/>
        <v>-3.941825153095585E-2</v>
      </c>
      <c r="AM41" s="13"/>
      <c r="AN41" s="11" t="str">
        <f t="shared" si="20"/>
        <v>that.[r*] surprised.[jj*] PUNC</v>
      </c>
      <c r="AO41" s="12">
        <v>82</v>
      </c>
      <c r="AP41" s="12"/>
      <c r="AQ41" s="13">
        <f t="shared" si="8"/>
        <v>0.25522384378818203</v>
      </c>
      <c r="AR41" s="13"/>
      <c r="AS41" s="11" t="str">
        <f t="shared" si="21"/>
        <v>that.[r*] surprised.[jj*] [i*]</v>
      </c>
      <c r="AT41" s="12">
        <v>3</v>
      </c>
      <c r="AU41" s="12"/>
      <c r="AV41" s="13">
        <f t="shared" si="9"/>
        <v>6.7848670129403932E-2</v>
      </c>
      <c r="AW41" s="13"/>
      <c r="AX41" s="11" t="str">
        <f t="shared" si="22"/>
        <v>-a little surprised.[jj*] PUNC</v>
      </c>
      <c r="AY41" s="12">
        <v>2</v>
      </c>
      <c r="AZ41" s="12"/>
      <c r="BA41" s="13">
        <f t="shared" si="10"/>
        <v>-3.8577883714414424E-2</v>
      </c>
      <c r="BB41" s="13"/>
      <c r="BC41" s="11" t="str">
        <f t="shared" si="23"/>
        <v>-a little.[r*] surprised.[jj*] [i*]</v>
      </c>
      <c r="BD41" s="12">
        <v>1</v>
      </c>
      <c r="BE41" s="12">
        <v>1</v>
      </c>
      <c r="BF41" s="13">
        <f t="shared" si="11"/>
        <v>-4.7827350583111154E-2</v>
      </c>
      <c r="BG41" s="13"/>
      <c r="BH41" s="11" t="str">
        <f t="shared" si="24"/>
        <v>no surprised.[jj*] PUNC</v>
      </c>
      <c r="BI41" s="12">
        <v>0</v>
      </c>
      <c r="BJ41" s="12">
        <v>1</v>
      </c>
      <c r="BK41" s="13">
        <f t="shared" si="12"/>
        <v>-1</v>
      </c>
      <c r="BL41" s="13"/>
      <c r="BM41" s="11" t="str">
        <f t="shared" si="25"/>
        <v>no surprised.[jj*] [i*]</v>
      </c>
      <c r="BN41" s="12">
        <v>0</v>
      </c>
      <c r="BO41" s="12"/>
      <c r="BP41" s="13">
        <f t="shared" si="13"/>
        <v>-1</v>
      </c>
      <c r="BQ41" s="13"/>
      <c r="BR41" s="11" t="str">
        <f t="shared" si="26"/>
        <v>any surprised.[jj*] PUNC</v>
      </c>
      <c r="BS41" s="12">
        <v>0</v>
      </c>
      <c r="BT41" s="12">
        <v>1</v>
      </c>
      <c r="BU41" s="13">
        <f t="shared" si="14"/>
        <v>-1</v>
      </c>
      <c r="BV41" s="13"/>
      <c r="BW41" s="11" t="str">
        <f t="shared" si="27"/>
        <v>any surprised.[jj*] [i*]</v>
      </c>
      <c r="BX41" s="12">
        <v>0</v>
      </c>
      <c r="BY41" s="12"/>
      <c r="BZ41" s="13">
        <f t="shared" si="15"/>
        <v>-1</v>
      </c>
      <c r="CA41" s="13"/>
    </row>
    <row r="42" spans="1:79" x14ac:dyDescent="0.2">
      <c r="A42" s="11" t="s">
        <v>67</v>
      </c>
      <c r="B42" s="12">
        <v>966493</v>
      </c>
      <c r="C42" s="12"/>
      <c r="D42" s="12"/>
      <c r="E42" s="16" t="s">
        <v>74</v>
      </c>
      <c r="F42" s="12">
        <v>891547</v>
      </c>
      <c r="G42" s="12"/>
      <c r="H42" s="11"/>
      <c r="I42" s="13"/>
      <c r="J42" s="16" t="s">
        <v>74</v>
      </c>
      <c r="K42" s="12">
        <v>891547</v>
      </c>
      <c r="L42" s="12"/>
      <c r="M42" s="11"/>
      <c r="N42" s="13"/>
      <c r="O42" s="13" t="s">
        <v>83</v>
      </c>
      <c r="P42" s="12">
        <v>2287393</v>
      </c>
      <c r="Q42" s="12"/>
      <c r="R42" s="11"/>
      <c r="S42" s="13"/>
      <c r="T42" s="13" t="s">
        <v>83</v>
      </c>
      <c r="U42" s="12">
        <v>2287393</v>
      </c>
      <c r="V42" s="12"/>
      <c r="W42" s="11"/>
      <c r="X42" s="13"/>
      <c r="Y42" s="11" t="s">
        <v>82</v>
      </c>
      <c r="Z42" s="12">
        <v>339341</v>
      </c>
      <c r="AA42" s="12"/>
      <c r="AB42" s="11"/>
      <c r="AC42" s="13"/>
      <c r="AD42" s="11" t="s">
        <v>82</v>
      </c>
      <c r="AE42" s="12">
        <v>339341</v>
      </c>
      <c r="AF42" s="12"/>
      <c r="AG42" s="11"/>
      <c r="AH42" s="13"/>
      <c r="AI42" s="11" t="s">
        <v>87</v>
      </c>
      <c r="AJ42" s="2">
        <v>396428</v>
      </c>
      <c r="AK42" s="2"/>
      <c r="AL42" s="11"/>
      <c r="AM42" s="13"/>
      <c r="AN42" s="11" t="s">
        <v>263</v>
      </c>
      <c r="AO42" s="12">
        <v>112917</v>
      </c>
      <c r="AP42" s="12"/>
      <c r="AQ42" s="11"/>
      <c r="AR42" s="13"/>
      <c r="AS42" s="11" t="s">
        <v>263</v>
      </c>
      <c r="AT42" s="12">
        <v>112917</v>
      </c>
      <c r="AU42" s="12"/>
      <c r="AV42" s="11"/>
      <c r="AW42" s="13"/>
      <c r="AX42" s="16" t="s">
        <v>89</v>
      </c>
      <c r="AY42" s="12">
        <v>384145</v>
      </c>
      <c r="AZ42" s="12"/>
      <c r="BA42" s="11"/>
      <c r="BB42" s="13"/>
      <c r="BC42" s="16" t="s">
        <v>89</v>
      </c>
      <c r="BD42" s="12">
        <v>384145</v>
      </c>
      <c r="BE42" s="12"/>
      <c r="BF42" s="11"/>
      <c r="BG42" s="13"/>
      <c r="BH42" s="11" t="s">
        <v>97</v>
      </c>
      <c r="BI42" s="12">
        <v>1541105</v>
      </c>
      <c r="BJ42" s="12"/>
      <c r="BK42" s="11"/>
      <c r="BL42" s="13"/>
      <c r="BM42" s="11" t="s">
        <v>97</v>
      </c>
      <c r="BN42" s="12">
        <v>1541105</v>
      </c>
      <c r="BO42" s="12"/>
      <c r="BP42" s="11"/>
      <c r="BQ42" s="13"/>
      <c r="BR42" s="11" t="s">
        <v>98</v>
      </c>
      <c r="BS42" s="12">
        <v>997550</v>
      </c>
      <c r="BT42" s="12"/>
      <c r="BU42" s="11"/>
      <c r="BV42" s="13"/>
      <c r="BW42" s="11" t="s">
        <v>98</v>
      </c>
      <c r="BX42" s="12">
        <v>997550</v>
      </c>
      <c r="BY42" s="12"/>
      <c r="BZ42" s="11"/>
      <c r="CA42" s="13"/>
    </row>
    <row r="43" spans="1:79" x14ac:dyDescent="0.2">
      <c r="A43" s="11"/>
      <c r="B43" s="12"/>
      <c r="C43" s="12"/>
      <c r="D43" s="12"/>
      <c r="E43" s="11"/>
      <c r="H43" s="8">
        <f>-3.5*H48+H47</f>
        <v>-4.2915415560804098</v>
      </c>
      <c r="I43" s="13"/>
      <c r="J43" s="13"/>
      <c r="K43" s="13"/>
      <c r="L43" s="13"/>
      <c r="M43" s="8">
        <f>-3.5*M48+M47</f>
        <v>-2.5698974096030396</v>
      </c>
      <c r="N43" s="13"/>
      <c r="O43" s="11"/>
      <c r="P43" s="12"/>
      <c r="Q43" s="12"/>
      <c r="R43" s="8">
        <f>-3.5*R48+R47</f>
        <v>-2.2926261083571897</v>
      </c>
      <c r="S43" s="13"/>
      <c r="T43" s="11"/>
      <c r="U43" s="12"/>
      <c r="V43" s="12"/>
      <c r="W43" s="8">
        <f>-3.5*W48+W47</f>
        <v>-5.6040571818108438</v>
      </c>
      <c r="X43" s="13"/>
      <c r="Y43" s="11"/>
      <c r="Z43" s="12"/>
      <c r="AA43" s="12"/>
      <c r="AB43" s="8">
        <f>-3.5*AB48+AB47</f>
        <v>-2.8215525016487248</v>
      </c>
      <c r="AC43" s="13"/>
      <c r="AD43" s="11"/>
      <c r="AE43" s="12"/>
      <c r="AF43" s="12"/>
      <c r="AG43" s="8">
        <f>-3.5*AG48+AG47</f>
        <v>-2.1448817852852535</v>
      </c>
      <c r="AH43" s="13"/>
      <c r="AI43" s="11"/>
      <c r="AJ43" s="12"/>
      <c r="AK43" s="12"/>
      <c r="AL43" s="8">
        <f>-3.5*AL48+AL47</f>
        <v>-2.6967278145899924</v>
      </c>
      <c r="AM43" s="13"/>
      <c r="AN43" s="11"/>
      <c r="AO43" s="12"/>
      <c r="AP43" s="12"/>
      <c r="AQ43" s="8">
        <f>-3.5*AQ48+AQ47</f>
        <v>-2.4942527130639913</v>
      </c>
      <c r="AR43" s="13"/>
      <c r="AS43" s="11"/>
      <c r="AT43" s="12"/>
      <c r="AU43" s="12"/>
      <c r="AV43" s="8">
        <f>-3.5*AV48+AV47</f>
        <v>-1.1857722384537102</v>
      </c>
      <c r="AW43" s="13"/>
      <c r="AX43" s="11"/>
      <c r="AY43" s="11"/>
      <c r="AZ43" s="11"/>
      <c r="BA43" s="8">
        <f>-3.5*BA48+BA47</f>
        <v>-1.7152369696512264</v>
      </c>
      <c r="BB43" s="13"/>
      <c r="BC43" s="11"/>
      <c r="BD43" s="11"/>
      <c r="BE43" s="11"/>
      <c r="BF43" s="8">
        <f>-3.5*BF48+BF47</f>
        <v>-1.4534366747918022</v>
      </c>
      <c r="BG43" s="13"/>
      <c r="BH43" s="11"/>
      <c r="BI43" s="11"/>
      <c r="BJ43" s="11"/>
      <c r="BK43" s="8">
        <f>-3.5*BK48+BK47</f>
        <v>-2.2582052310578038</v>
      </c>
      <c r="BL43" s="13"/>
      <c r="BM43" s="11"/>
      <c r="BN43" s="11"/>
      <c r="BO43" s="11"/>
      <c r="BP43" s="8">
        <f>-3.5*BP48+BP47</f>
        <v>-2.0006177942280901</v>
      </c>
      <c r="BQ43" s="13"/>
      <c r="BR43" s="11"/>
      <c r="BS43" s="11"/>
      <c r="BT43" s="11"/>
      <c r="BU43" s="8">
        <f>-3.5*BU48+BU47</f>
        <v>-3.0770339175122792</v>
      </c>
      <c r="BV43" s="13"/>
      <c r="BW43" s="11"/>
      <c r="BX43" s="11"/>
      <c r="BY43" s="11"/>
      <c r="BZ43" s="8">
        <f>-3.5*BZ48+BZ47</f>
        <v>-1.9289482204328303</v>
      </c>
      <c r="CA43" s="13"/>
    </row>
    <row r="44" spans="1:79" x14ac:dyDescent="0.2">
      <c r="A44" s="11"/>
      <c r="B44" s="11"/>
      <c r="C44" s="11"/>
      <c r="D44" s="11"/>
      <c r="E44" s="11"/>
      <c r="I44" s="11"/>
      <c r="J44" s="11"/>
      <c r="K44" s="11"/>
      <c r="L44" s="11"/>
      <c r="N44" s="11"/>
      <c r="O44" s="11"/>
      <c r="P44" s="11"/>
      <c r="Q44" s="11"/>
      <c r="S44" s="11"/>
      <c r="T44" s="11"/>
      <c r="U44" s="11"/>
      <c r="V44" s="11"/>
      <c r="X44" s="11"/>
      <c r="Y44" s="11"/>
      <c r="Z44" s="11"/>
      <c r="AA44" s="11"/>
      <c r="AC44" s="11"/>
      <c r="AD44" s="11"/>
      <c r="AE44" s="11"/>
      <c r="AF44" s="11"/>
      <c r="AH44" s="11"/>
      <c r="AI44" s="11"/>
      <c r="AJ44" s="11"/>
      <c r="AK44" s="11"/>
      <c r="AM44" s="11"/>
      <c r="AN44" s="11"/>
      <c r="AO44" s="11"/>
      <c r="AP44" s="11"/>
      <c r="AR44" s="11"/>
      <c r="AS44" s="11"/>
      <c r="AT44" s="11"/>
      <c r="AU44" s="11"/>
      <c r="AW44" s="11"/>
      <c r="AX44" s="11"/>
      <c r="AY44" s="11"/>
      <c r="AZ44" s="11"/>
      <c r="BB44" s="11"/>
      <c r="BC44" s="11"/>
      <c r="BD44" s="11"/>
      <c r="BE44" s="11"/>
      <c r="BG44" s="11"/>
      <c r="BH44" s="11"/>
      <c r="BI44" s="11"/>
      <c r="BJ44" s="11"/>
      <c r="BL44" s="11"/>
      <c r="BM44" s="11"/>
      <c r="BN44" s="11"/>
      <c r="BO44" s="11"/>
      <c r="BQ44" s="11"/>
      <c r="BR44" s="11"/>
      <c r="BS44" s="11"/>
      <c r="BT44" s="11"/>
      <c r="BV44" s="11"/>
      <c r="BW44" s="11"/>
      <c r="BX44" s="11"/>
      <c r="BY44" s="11"/>
      <c r="CA44" s="11"/>
    </row>
    <row r="45" spans="1:79" x14ac:dyDescent="0.2">
      <c r="A45" s="11"/>
      <c r="B45" s="11"/>
      <c r="C45" s="11"/>
      <c r="D45" s="11"/>
      <c r="E45" s="11"/>
      <c r="F45" t="s">
        <v>78</v>
      </c>
      <c r="H45" s="1">
        <f>AVERAGE(H2:H41)</f>
        <v>-0.34822289960671476</v>
      </c>
      <c r="I45" s="13"/>
      <c r="J45" s="13"/>
      <c r="K45" s="13"/>
      <c r="L45" s="13"/>
      <c r="M45" s="1">
        <f>AVERAGE(M2:M41)</f>
        <v>-0.2234768334294423</v>
      </c>
      <c r="N45" s="13"/>
      <c r="O45" s="13"/>
      <c r="P45" s="13"/>
      <c r="Q45" s="13"/>
      <c r="R45" s="1">
        <f>AVERAGE(R2:R41)</f>
        <v>-2.1110291572782783E-2</v>
      </c>
      <c r="S45" s="13"/>
      <c r="T45" s="13"/>
      <c r="U45" s="13"/>
      <c r="V45" s="13"/>
      <c r="W45" s="1">
        <f>AVERAGE(W2:W41)</f>
        <v>-0.17070255512001989</v>
      </c>
      <c r="X45" s="13"/>
      <c r="Y45" s="13"/>
      <c r="Z45" s="13"/>
      <c r="AA45" s="13"/>
      <c r="AB45" s="1">
        <f>AVERAGE(AB2:AB41)</f>
        <v>-0.15710870745003397</v>
      </c>
      <c r="AC45" s="13"/>
      <c r="AD45" s="13"/>
      <c r="AE45" s="13"/>
      <c r="AF45" s="13"/>
      <c r="AG45" s="1">
        <f>AVERAGE(AG2:AG41)</f>
        <v>-0.24767081553050971</v>
      </c>
      <c r="AH45" s="13"/>
      <c r="AI45" s="11"/>
      <c r="AJ45" s="13"/>
      <c r="AK45" s="13"/>
      <c r="AL45" s="1">
        <f>AVERAGE(AL2:AL41)</f>
        <v>-0.19579804078708701</v>
      </c>
      <c r="AM45" s="13"/>
      <c r="AN45" s="11"/>
      <c r="AO45" s="13"/>
      <c r="AP45" s="13"/>
      <c r="AQ45" s="1">
        <f>AVERAGE(AQ2:AQ41)</f>
        <v>-0.25868123259466025</v>
      </c>
      <c r="AR45" s="13"/>
      <c r="AS45" s="11"/>
      <c r="AT45" s="13"/>
      <c r="AU45" s="13"/>
      <c r="AV45" s="1">
        <f>AVERAGE(AV2:AV41)</f>
        <v>-0.62905831200229156</v>
      </c>
      <c r="AW45" s="13"/>
      <c r="AX45" s="11"/>
      <c r="AY45" s="13"/>
      <c r="AZ45" s="13"/>
      <c r="BA45" s="1">
        <f>AVERAGE(BA2:BA41)</f>
        <v>-0.83241159821971844</v>
      </c>
      <c r="BB45" s="13"/>
      <c r="BC45" s="13"/>
      <c r="BD45" s="13"/>
      <c r="BE45" s="13"/>
      <c r="BF45" s="1">
        <f>AVERAGE(BF2:BF41)</f>
        <v>-0.75425174216894797</v>
      </c>
      <c r="BG45" s="13"/>
      <c r="BH45" s="11"/>
      <c r="BI45" s="13"/>
      <c r="BJ45" s="13"/>
      <c r="BK45" s="1">
        <f>AVERAGE(BK2:BK41)</f>
        <v>-0.79331683722374702</v>
      </c>
      <c r="BL45" s="13"/>
      <c r="BM45" s="11"/>
      <c r="BN45" s="13"/>
      <c r="BO45" s="13"/>
      <c r="BP45" s="1">
        <f>AVERAGE(BP2:BP41)</f>
        <v>-0.73931759060573166</v>
      </c>
      <c r="BQ45" s="13"/>
      <c r="BR45" s="11"/>
      <c r="BS45" s="13"/>
      <c r="BT45" s="13"/>
      <c r="BU45" s="1">
        <f>AVERAGE(BU2:BU41)</f>
        <v>-0.67847774401819494</v>
      </c>
      <c r="BV45" s="13"/>
      <c r="BW45" s="11"/>
      <c r="BX45" s="13"/>
      <c r="BY45" s="13"/>
      <c r="BZ45" s="1">
        <f>AVERAGE(BZ2:BZ41)</f>
        <v>-0.74587099498167908</v>
      </c>
      <c r="CA45" s="13"/>
    </row>
    <row r="46" spans="1:79" x14ac:dyDescent="0.2">
      <c r="A46" s="11"/>
      <c r="B46" s="11"/>
      <c r="C46" s="11"/>
      <c r="D46" s="11"/>
      <c r="E46" s="11"/>
      <c r="F46" t="s">
        <v>80</v>
      </c>
      <c r="H46" s="1">
        <f>_xlfn.STDEV.S(H2:H41)</f>
        <v>0.58042534303762494</v>
      </c>
      <c r="I46" s="13"/>
      <c r="J46" s="13"/>
      <c r="K46" s="13"/>
      <c r="L46" s="13"/>
      <c r="M46" s="1">
        <f>_xlfn.STDEV.S(M2:M41)</f>
        <v>0.5595462507535266</v>
      </c>
      <c r="N46" s="13"/>
      <c r="O46" s="13"/>
      <c r="P46" s="13"/>
      <c r="Q46" s="13"/>
      <c r="R46" s="1">
        <f>_xlfn.STDEV.S(R2:R41)</f>
        <v>0.26169448900222642</v>
      </c>
      <c r="S46" s="13"/>
      <c r="T46" s="13"/>
      <c r="U46" s="13"/>
      <c r="V46" s="13"/>
      <c r="W46" s="1">
        <f>_xlfn.STDEV.S(W2:W41)</f>
        <v>0.50049833348280748</v>
      </c>
      <c r="X46" s="13"/>
      <c r="Y46" s="13"/>
      <c r="Z46" s="13"/>
      <c r="AA46" s="13"/>
      <c r="AB46" s="1">
        <f>_xlfn.STDEV.S(AB2:AB41)</f>
        <v>0.47372185713034293</v>
      </c>
      <c r="AC46" s="13"/>
      <c r="AD46" s="13"/>
      <c r="AE46" s="13"/>
      <c r="AF46" s="13"/>
      <c r="AG46" s="1">
        <f>_xlfn.STDEV.S(AG2:AG41)</f>
        <v>0.53809537543007357</v>
      </c>
      <c r="AH46" s="13"/>
      <c r="AI46" s="11"/>
      <c r="AJ46" s="13"/>
      <c r="AK46" s="13"/>
      <c r="AL46" s="1">
        <f>_xlfn.STDEV.S(AL2:AL41)</f>
        <v>0.48780530598644289</v>
      </c>
      <c r="AM46" s="13"/>
      <c r="AN46" s="11"/>
      <c r="AO46" s="13"/>
      <c r="AP46" s="13"/>
      <c r="AQ46" s="1">
        <f>_xlfn.STDEV.S(AQ2:AQ41)</f>
        <v>0.58697035353583782</v>
      </c>
      <c r="AR46" s="13"/>
      <c r="AS46" s="11"/>
      <c r="AT46" s="13"/>
      <c r="AU46" s="13"/>
      <c r="AV46" s="1">
        <f>_xlfn.STDEV.S(AV2:AV41)</f>
        <v>0.51251113765019984</v>
      </c>
      <c r="AW46" s="13"/>
      <c r="AX46" s="11"/>
      <c r="AY46" s="13"/>
      <c r="AZ46" s="13"/>
      <c r="BA46" s="1">
        <f>_xlfn.STDEV.S(BA2:BA41)</f>
        <v>0.3687364538186102</v>
      </c>
      <c r="BB46" s="13"/>
      <c r="BC46" s="13"/>
      <c r="BD46" s="13"/>
      <c r="BE46" s="13"/>
      <c r="BF46" s="1">
        <f>_xlfn.STDEV.S(BF2:BF41)</f>
        <v>0.43235730004390305</v>
      </c>
      <c r="BG46" s="13"/>
      <c r="BH46" s="11"/>
      <c r="BI46" s="13"/>
      <c r="BJ46" s="13"/>
      <c r="BK46" s="1">
        <f>_xlfn.STDEV.S(BK2:BK41)</f>
        <v>0.4203014277428257</v>
      </c>
      <c r="BL46" s="13"/>
      <c r="BM46" s="11"/>
      <c r="BN46" s="13"/>
      <c r="BO46" s="13"/>
      <c r="BP46" s="1">
        <f>_xlfn.STDEV.S(BP2:BP41)</f>
        <v>0.45932833519050792</v>
      </c>
      <c r="BQ46" s="13"/>
      <c r="BR46" s="11"/>
      <c r="BS46" s="13"/>
      <c r="BT46" s="13"/>
      <c r="BU46" s="1">
        <f>_xlfn.STDEV.S(BU2:BU41)</f>
        <v>0.53172898834898452</v>
      </c>
      <c r="BV46" s="13"/>
      <c r="BW46" s="11"/>
      <c r="BX46" s="13"/>
      <c r="BY46" s="13"/>
      <c r="BZ46" s="1">
        <f>_xlfn.STDEV.S(BZ2:BZ41)</f>
        <v>0.47833850452918802</v>
      </c>
      <c r="CA46" s="13"/>
    </row>
    <row r="47" spans="1:79" x14ac:dyDescent="0.2">
      <c r="A47" s="11"/>
      <c r="B47" s="11"/>
      <c r="C47" s="11"/>
      <c r="D47" s="11"/>
      <c r="E47" s="11"/>
      <c r="F47" t="s">
        <v>84</v>
      </c>
      <c r="H47" s="1">
        <v>0.57316637840630347</v>
      </c>
      <c r="I47" s="13"/>
      <c r="J47" s="13"/>
      <c r="K47" s="13"/>
      <c r="L47" s="13"/>
      <c r="M47" s="1">
        <v>0.84129529567687045</v>
      </c>
      <c r="N47" s="13"/>
      <c r="O47" s="13"/>
      <c r="P47" s="13"/>
      <c r="Q47" s="13"/>
      <c r="R47" s="1">
        <v>0.91021047022894186</v>
      </c>
      <c r="S47" s="13"/>
      <c r="T47" s="13"/>
      <c r="U47" s="13"/>
      <c r="V47" s="13"/>
      <c r="W47" s="1">
        <v>0.2704830622688556</v>
      </c>
      <c r="X47" s="13"/>
      <c r="Y47" s="13"/>
      <c r="Z47" s="13"/>
      <c r="AA47" s="13"/>
      <c r="AB47" s="1">
        <v>0.37446737267413172</v>
      </c>
      <c r="AC47" s="13"/>
      <c r="AD47" s="13"/>
      <c r="AE47" s="13"/>
      <c r="AF47" s="13"/>
      <c r="AG47" s="1">
        <v>0.291899196362848</v>
      </c>
      <c r="AH47" s="13"/>
      <c r="AI47" s="11"/>
      <c r="AJ47" s="13"/>
      <c r="AK47" s="13"/>
      <c r="AL47" s="1">
        <v>0.79797383395048938</v>
      </c>
      <c r="AM47" s="13"/>
      <c r="AN47" s="11"/>
      <c r="AO47" s="13"/>
      <c r="AP47" s="13"/>
      <c r="AQ47" s="1">
        <v>0.46040869448053173</v>
      </c>
      <c r="AR47" s="13"/>
      <c r="AS47" s="11"/>
      <c r="AT47" s="13"/>
      <c r="AU47" s="13"/>
      <c r="AV47" s="1">
        <v>-0.15117749050479656</v>
      </c>
      <c r="AW47" s="13"/>
      <c r="AX47" s="11"/>
      <c r="AY47" s="13"/>
      <c r="AZ47" s="13"/>
      <c r="BA47" s="1">
        <v>-0.13237975704081817</v>
      </c>
      <c r="BB47" s="13"/>
      <c r="BC47" s="13"/>
      <c r="BD47" s="13"/>
      <c r="BE47" s="13"/>
      <c r="BF47" s="1">
        <v>-0.13649338940129541</v>
      </c>
      <c r="BG47" s="13"/>
      <c r="BH47" s="11"/>
      <c r="BI47" s="13"/>
      <c r="BJ47" s="13"/>
      <c r="BK47" s="1">
        <v>9.4595028527676595E-2</v>
      </c>
      <c r="BL47" s="13"/>
      <c r="BM47" s="11"/>
      <c r="BN47" s="13"/>
      <c r="BO47" s="13"/>
      <c r="BP47" s="1">
        <v>3.4994272918577103E-2</v>
      </c>
      <c r="BQ47" s="13"/>
      <c r="BR47" s="11"/>
      <c r="BS47" s="13"/>
      <c r="BT47" s="13"/>
      <c r="BU47" s="1">
        <v>0.30889869661181585</v>
      </c>
      <c r="BV47" s="13"/>
      <c r="BW47" s="11"/>
      <c r="BX47" s="13"/>
      <c r="BY47" s="13"/>
      <c r="BZ47" s="1">
        <v>4.7471127033411269E-2</v>
      </c>
      <c r="CA47" s="13"/>
    </row>
    <row r="48" spans="1:79" x14ac:dyDescent="0.2">
      <c r="A48" s="11"/>
      <c r="B48" s="11"/>
      <c r="C48" s="11"/>
      <c r="D48" s="11"/>
      <c r="E48" s="11"/>
      <c r="F48" t="s">
        <v>85</v>
      </c>
      <c r="H48" s="1">
        <v>1.3899165527104893</v>
      </c>
      <c r="I48" s="13"/>
      <c r="J48" s="13"/>
      <c r="K48" s="13"/>
      <c r="L48" s="13"/>
      <c r="M48" s="1">
        <v>0.97462648722283141</v>
      </c>
      <c r="N48" s="13"/>
      <c r="O48" s="13"/>
      <c r="P48" s="13"/>
      <c r="Q48" s="13"/>
      <c r="R48" s="1">
        <v>0.91509616531032334</v>
      </c>
      <c r="S48" s="13"/>
      <c r="T48" s="13"/>
      <c r="U48" s="13"/>
      <c r="V48" s="13"/>
      <c r="W48" s="1">
        <v>1.6784400697370569</v>
      </c>
      <c r="X48" s="13"/>
      <c r="Y48" s="13"/>
      <c r="Z48" s="13"/>
      <c r="AA48" s="13"/>
      <c r="AB48" s="1">
        <v>0.91314853552081621</v>
      </c>
      <c r="AC48" s="13"/>
      <c r="AD48" s="13"/>
      <c r="AE48" s="13"/>
      <c r="AF48" s="13"/>
      <c r="AG48" s="1">
        <v>0.69622313761374333</v>
      </c>
      <c r="AH48" s="13"/>
      <c r="AI48" s="11"/>
      <c r="AJ48" s="13"/>
      <c r="AK48" s="13"/>
      <c r="AL48" s="1">
        <v>0.9984861852972805</v>
      </c>
      <c r="AM48" s="13"/>
      <c r="AN48" s="11"/>
      <c r="AO48" s="13"/>
      <c r="AP48" s="13"/>
      <c r="AQ48" s="1">
        <v>0.84418897358414946</v>
      </c>
      <c r="AR48" s="13"/>
      <c r="AS48" s="11"/>
      <c r="AT48" s="13"/>
      <c r="AU48" s="13"/>
      <c r="AV48" s="1">
        <v>0.29559849941397526</v>
      </c>
      <c r="AW48" s="13"/>
      <c r="AX48" s="11"/>
      <c r="AY48" s="13"/>
      <c r="AZ48" s="13"/>
      <c r="BA48" s="1">
        <v>0.45224491788868804</v>
      </c>
      <c r="BB48" s="13"/>
      <c r="BC48" s="13"/>
      <c r="BD48" s="13"/>
      <c r="BE48" s="13"/>
      <c r="BF48" s="1">
        <v>0.37626951011157334</v>
      </c>
      <c r="BG48" s="13"/>
      <c r="BH48" s="11"/>
      <c r="BI48" s="13"/>
      <c r="BJ48" s="13"/>
      <c r="BK48" s="1">
        <v>0.67222864559585149</v>
      </c>
      <c r="BL48" s="13"/>
      <c r="BM48" s="11"/>
      <c r="BN48" s="13"/>
      <c r="BO48" s="13"/>
      <c r="BP48" s="1">
        <v>0.58160344775619066</v>
      </c>
      <c r="BQ48" s="13"/>
      <c r="BR48" s="11"/>
      <c r="BS48" s="13"/>
      <c r="BT48" s="13"/>
      <c r="BU48" s="1">
        <v>0.96740931832117005</v>
      </c>
      <c r="BV48" s="13"/>
      <c r="BW48" s="11"/>
      <c r="BX48" s="13"/>
      <c r="BY48" s="13"/>
      <c r="BZ48" s="1">
        <v>0.56469124213321187</v>
      </c>
      <c r="CA48" s="13"/>
    </row>
    <row r="49" spans="8:78" x14ac:dyDescent="0.2">
      <c r="H49" s="1"/>
      <c r="M49" s="1"/>
      <c r="R49" s="1"/>
      <c r="W49" s="1"/>
      <c r="AB49" s="1"/>
      <c r="AG49" s="1"/>
      <c r="AL49" s="1"/>
      <c r="AQ49" s="1"/>
      <c r="AV49" s="1"/>
      <c r="BA49" s="1"/>
      <c r="BF49" s="1"/>
      <c r="BK49" s="1"/>
      <c r="BP49" s="1"/>
      <c r="BU49" s="1"/>
      <c r="BZ49" s="1"/>
    </row>
    <row r="50" spans="8:78" x14ac:dyDescent="0.2">
      <c r="H50" s="1"/>
      <c r="M50" s="1"/>
      <c r="R50" s="1"/>
      <c r="W50" s="1"/>
      <c r="AB50" s="1"/>
      <c r="AG50" s="1"/>
      <c r="AL50" s="1"/>
      <c r="AQ50" s="1"/>
      <c r="AV50" s="1"/>
      <c r="BA50" s="1"/>
      <c r="BF50" s="1"/>
      <c r="BK50" s="1"/>
      <c r="BP50" s="1"/>
      <c r="BU50" s="1"/>
      <c r="BZ50" s="1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4E61F-5BA1-5741-9C0A-4E5F1411845C}">
  <dimension ref="A1:P40"/>
  <sheetViews>
    <sheetView zoomScale="150" zoomScaleNormal="1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2" sqref="F12"/>
    </sheetView>
  </sheetViews>
  <sheetFormatPr baseColWidth="10" defaultRowHeight="16" x14ac:dyDescent="0.2"/>
  <cols>
    <col min="1" max="1" width="12.33203125" bestFit="1" customWidth="1"/>
    <col min="2" max="2" width="11" bestFit="1" customWidth="1"/>
    <col min="3" max="3" width="10.5" bestFit="1" customWidth="1"/>
    <col min="4" max="4" width="10.83203125" bestFit="1" customWidth="1"/>
    <col min="5" max="5" width="10.33203125" bestFit="1" customWidth="1"/>
    <col min="6" max="6" width="9.6640625" bestFit="1" customWidth="1"/>
    <col min="7" max="7" width="9.1640625" bestFit="1" customWidth="1"/>
    <col min="8" max="8" width="7.1640625" bestFit="1" customWidth="1"/>
    <col min="9" max="9" width="9.83203125" bestFit="1" customWidth="1"/>
    <col min="10" max="10" width="9.33203125" bestFit="1" customWidth="1"/>
    <col min="11" max="11" width="10.33203125" bestFit="1" customWidth="1"/>
    <col min="12" max="12" width="9.83203125" bestFit="1" customWidth="1"/>
    <col min="13" max="13" width="8.5" bestFit="1" customWidth="1"/>
    <col min="14" max="14" width="8" bestFit="1" customWidth="1"/>
    <col min="15" max="15" width="9.33203125" bestFit="1" customWidth="1"/>
    <col min="16" max="16" width="8.83203125" bestFit="1" customWidth="1"/>
  </cols>
  <sheetData>
    <row r="1" spans="1:16" x14ac:dyDescent="0.2">
      <c r="A1" s="28" t="s">
        <v>68</v>
      </c>
      <c r="B1" s="28" t="s">
        <v>303</v>
      </c>
      <c r="C1" s="28" t="s">
        <v>308</v>
      </c>
      <c r="D1" s="28" t="s">
        <v>304</v>
      </c>
      <c r="E1" s="28" t="s">
        <v>309</v>
      </c>
      <c r="F1" s="28" t="s">
        <v>305</v>
      </c>
      <c r="G1" s="28" t="s">
        <v>310</v>
      </c>
      <c r="H1" s="28" t="s">
        <v>87</v>
      </c>
      <c r="I1" s="28" t="s">
        <v>313</v>
      </c>
      <c r="J1" s="28" t="s">
        <v>314</v>
      </c>
      <c r="K1" s="28" t="s">
        <v>315</v>
      </c>
      <c r="L1" s="28" t="s">
        <v>316</v>
      </c>
      <c r="M1" s="28" t="s">
        <v>306</v>
      </c>
      <c r="N1" s="28" t="s">
        <v>311</v>
      </c>
      <c r="O1" s="28" t="s">
        <v>307</v>
      </c>
      <c r="P1" s="28" t="s">
        <v>312</v>
      </c>
    </row>
    <row r="2" spans="1:16" x14ac:dyDescent="0.2">
      <c r="A2" s="28" t="s">
        <v>15</v>
      </c>
      <c r="B2" s="28">
        <v>-1</v>
      </c>
      <c r="C2" s="28">
        <v>-1</v>
      </c>
      <c r="D2" s="28">
        <v>-0.14391973333021738</v>
      </c>
      <c r="E2" s="28">
        <v>-1</v>
      </c>
      <c r="F2" s="28">
        <v>-4.6701100598379668E-2</v>
      </c>
      <c r="G2" s="28">
        <v>-1</v>
      </c>
      <c r="H2" s="28">
        <v>0.29635716640369125</v>
      </c>
      <c r="I2" s="28">
        <v>0.32280052480369065</v>
      </c>
      <c r="J2" s="28">
        <v>7.1753235001218565E-2</v>
      </c>
      <c r="K2" s="28">
        <v>-1</v>
      </c>
      <c r="L2" s="28">
        <v>-1</v>
      </c>
      <c r="M2" s="28">
        <v>-1</v>
      </c>
      <c r="N2" s="28">
        <v>-1</v>
      </c>
      <c r="O2" s="28">
        <v>-1</v>
      </c>
      <c r="P2" s="28">
        <v>-1</v>
      </c>
    </row>
    <row r="3" spans="1:16" x14ac:dyDescent="0.2">
      <c r="A3" s="28" t="s">
        <v>7</v>
      </c>
      <c r="B3" s="28">
        <v>-1</v>
      </c>
      <c r="C3" s="28">
        <v>-1</v>
      </c>
      <c r="D3" s="28">
        <v>-1</v>
      </c>
      <c r="E3" s="28">
        <v>-1</v>
      </c>
      <c r="F3" s="28">
        <v>-3.4510276345936966E-2</v>
      </c>
      <c r="G3" s="28">
        <v>-1</v>
      </c>
      <c r="H3" s="28">
        <v>0.12019704383041394</v>
      </c>
      <c r="I3" s="28">
        <v>0.29067807486511504</v>
      </c>
      <c r="J3" s="28">
        <v>-1</v>
      </c>
      <c r="K3" s="28">
        <v>-1</v>
      </c>
      <c r="L3" s="28">
        <v>-1</v>
      </c>
      <c r="M3" s="28">
        <v>-1</v>
      </c>
      <c r="N3" s="28">
        <v>-1</v>
      </c>
      <c r="O3" s="28">
        <v>-1</v>
      </c>
      <c r="P3" s="28">
        <v>-1</v>
      </c>
    </row>
    <row r="4" spans="1:16" x14ac:dyDescent="0.2">
      <c r="A4" s="28" t="s">
        <v>8</v>
      </c>
      <c r="B4" s="28">
        <v>-1</v>
      </c>
      <c r="C4" s="28">
        <v>-1</v>
      </c>
      <c r="D4" s="28">
        <v>-1</v>
      </c>
      <c r="E4" s="28">
        <v>-1</v>
      </c>
      <c r="F4" s="28">
        <v>-5.4610851310695388E-2</v>
      </c>
      <c r="G4" s="28">
        <v>-2.6182365179463547E-2</v>
      </c>
      <c r="H4" s="28">
        <v>0.18480898519538316</v>
      </c>
      <c r="I4" s="28">
        <v>0.22110970900566684</v>
      </c>
      <c r="J4" s="28">
        <v>6.2438961525722196E-2</v>
      </c>
      <c r="K4" s="28">
        <v>-1</v>
      </c>
      <c r="L4" s="28">
        <v>-1</v>
      </c>
      <c r="M4" s="28">
        <v>-1</v>
      </c>
      <c r="N4" s="28">
        <v>-1</v>
      </c>
      <c r="O4" s="28">
        <v>-1</v>
      </c>
      <c r="P4" s="28">
        <v>-1</v>
      </c>
    </row>
    <row r="5" spans="1:16" x14ac:dyDescent="0.2">
      <c r="A5" s="28" t="s">
        <v>13</v>
      </c>
      <c r="B5" s="28">
        <v>-1</v>
      </c>
      <c r="C5" s="28">
        <v>-1</v>
      </c>
      <c r="D5" s="28">
        <v>-9.249291862481529E-2</v>
      </c>
      <c r="E5" s="28">
        <v>-0.17266886060028014</v>
      </c>
      <c r="F5" s="28">
        <v>8.9638530994960318E-4</v>
      </c>
      <c r="G5" s="28">
        <v>-4.8792045363526299E-2</v>
      </c>
      <c r="H5" s="28">
        <v>7.3126531879906739E-2</v>
      </c>
      <c r="I5" s="28">
        <v>0.3058317501146629</v>
      </c>
      <c r="J5" s="28">
        <v>6.1349367608268734E-3</v>
      </c>
      <c r="K5" s="28">
        <v>-1</v>
      </c>
      <c r="L5" s="28">
        <v>-1</v>
      </c>
      <c r="M5" s="28">
        <v>-1</v>
      </c>
      <c r="N5" s="28">
        <v>-1</v>
      </c>
      <c r="O5" s="28">
        <v>-1</v>
      </c>
      <c r="P5" s="28">
        <v>-1</v>
      </c>
    </row>
    <row r="6" spans="1:16" x14ac:dyDescent="0.2">
      <c r="A6" s="28" t="s">
        <v>14</v>
      </c>
      <c r="B6" s="28">
        <v>-1</v>
      </c>
      <c r="C6" s="28">
        <v>-1</v>
      </c>
      <c r="D6" s="28">
        <v>-0.19769220707260279</v>
      </c>
      <c r="E6" s="28">
        <v>-1</v>
      </c>
      <c r="F6" s="28">
        <v>-0.10562675412912269</v>
      </c>
      <c r="G6" s="28">
        <v>-6.2601693725710609E-4</v>
      </c>
      <c r="H6" s="28">
        <v>0.15198785323981592</v>
      </c>
      <c r="I6" s="28">
        <v>0.24685675284029787</v>
      </c>
      <c r="J6" s="28">
        <v>5.2464035502564829E-2</v>
      </c>
      <c r="K6" s="28">
        <v>-1</v>
      </c>
      <c r="L6" s="28">
        <v>-1</v>
      </c>
      <c r="M6" s="28">
        <v>-1</v>
      </c>
      <c r="N6" s="28">
        <v>-1</v>
      </c>
      <c r="O6" s="28">
        <v>-1</v>
      </c>
      <c r="P6" s="28">
        <v>-1</v>
      </c>
    </row>
    <row r="7" spans="1:16" x14ac:dyDescent="0.2">
      <c r="A7" s="28" t="s">
        <v>248</v>
      </c>
      <c r="B7" s="28">
        <v>-1</v>
      </c>
      <c r="C7" s="28">
        <v>-8.4973395709607574E-2</v>
      </c>
      <c r="D7" s="28">
        <v>-4.5748107222167517E-2</v>
      </c>
      <c r="E7" s="28">
        <v>-5.7224450083112013E-2</v>
      </c>
      <c r="F7" s="28">
        <v>9.1961810527448409E-2</v>
      </c>
      <c r="G7" s="28">
        <v>0.11389937879824347</v>
      </c>
      <c r="H7" s="28">
        <v>0.37487537809954791</v>
      </c>
      <c r="I7" s="28">
        <v>0.24140410082658345</v>
      </c>
      <c r="J7" s="28">
        <v>0.10015171098065269</v>
      </c>
      <c r="K7" s="28">
        <v>-1</v>
      </c>
      <c r="L7" s="28">
        <v>-1</v>
      </c>
      <c r="M7" s="28">
        <v>-1</v>
      </c>
      <c r="N7" s="28">
        <v>-1</v>
      </c>
      <c r="O7" s="28">
        <v>-1</v>
      </c>
      <c r="P7" s="28">
        <v>-1</v>
      </c>
    </row>
    <row r="8" spans="1:16" x14ac:dyDescent="0.2">
      <c r="A8" s="28" t="s">
        <v>9</v>
      </c>
      <c r="B8" s="28">
        <v>-1</v>
      </c>
      <c r="C8" s="28">
        <v>-1</v>
      </c>
      <c r="D8" s="28">
        <v>-0.17328467198292674</v>
      </c>
      <c r="E8" s="28">
        <v>-1</v>
      </c>
      <c r="F8" s="28">
        <v>-9.4766328969710975E-2</v>
      </c>
      <c r="G8" s="28">
        <v>-3.6713763445904581E-2</v>
      </c>
      <c r="H8" s="28">
        <v>0.12649649628395318</v>
      </c>
      <c r="I8" s="28">
        <v>0.30717320727049086</v>
      </c>
      <c r="J8" s="28">
        <v>8.6391226710138116E-2</v>
      </c>
      <c r="K8" s="28">
        <v>-1</v>
      </c>
      <c r="L8" s="28">
        <v>-1</v>
      </c>
      <c r="M8" s="28">
        <v>-1</v>
      </c>
      <c r="N8" s="28">
        <v>-1</v>
      </c>
      <c r="O8" s="28">
        <v>-1</v>
      </c>
      <c r="P8" s="28">
        <v>-1</v>
      </c>
    </row>
    <row r="9" spans="1:16" x14ac:dyDescent="0.2">
      <c r="A9" s="28" t="s">
        <v>21</v>
      </c>
      <c r="B9" s="28">
        <v>-1</v>
      </c>
      <c r="C9" s="28">
        <v>-1</v>
      </c>
      <c r="D9" s="28">
        <v>0.22026469903625184</v>
      </c>
      <c r="E9" s="28">
        <v>0.2462961656517281</v>
      </c>
      <c r="F9" s="28">
        <v>0.19845408758294505</v>
      </c>
      <c r="G9" s="28">
        <v>0.20791575682419119</v>
      </c>
      <c r="H9" s="28">
        <v>8.7178193947587274E-2</v>
      </c>
      <c r="I9" s="28">
        <v>0.23702633591585101</v>
      </c>
      <c r="J9" s="28">
        <v>-1</v>
      </c>
      <c r="K9" s="28">
        <v>-1</v>
      </c>
      <c r="L9" s="28">
        <v>-1</v>
      </c>
      <c r="M9" s="28">
        <v>-1</v>
      </c>
      <c r="N9" s="28">
        <v>-1</v>
      </c>
      <c r="O9" s="28">
        <v>-1</v>
      </c>
      <c r="P9" s="28">
        <v>-1</v>
      </c>
    </row>
    <row r="10" spans="1:16" x14ac:dyDescent="0.2">
      <c r="A10" s="28" t="s">
        <v>18</v>
      </c>
      <c r="B10" s="28">
        <v>-1</v>
      </c>
      <c r="C10" s="28">
        <v>-1</v>
      </c>
      <c r="D10" s="28">
        <v>0.13975469748449326</v>
      </c>
      <c r="E10" s="28">
        <v>0.11674564186339068</v>
      </c>
      <c r="F10" s="28">
        <v>0.46460888818224466</v>
      </c>
      <c r="G10" s="28">
        <v>0.36333321256610768</v>
      </c>
      <c r="H10" s="28">
        <v>0.42912408606881297</v>
      </c>
      <c r="I10" s="28">
        <v>0.20974394131299579</v>
      </c>
      <c r="J10" s="28">
        <v>-1</v>
      </c>
      <c r="K10" s="28">
        <v>-1</v>
      </c>
      <c r="L10" s="28">
        <v>-1</v>
      </c>
      <c r="M10" s="28">
        <v>-1</v>
      </c>
      <c r="N10" s="28">
        <v>-1</v>
      </c>
      <c r="O10" s="28">
        <v>-1</v>
      </c>
      <c r="P10" s="28">
        <v>-1</v>
      </c>
    </row>
    <row r="11" spans="1:16" x14ac:dyDescent="0.2">
      <c r="A11" s="28" t="s">
        <v>19</v>
      </c>
      <c r="B11" s="28">
        <v>-1</v>
      </c>
      <c r="C11" s="28">
        <v>-1</v>
      </c>
      <c r="D11" s="28">
        <v>0.18802519971673104</v>
      </c>
      <c r="E11" s="28">
        <v>0.21641738906983257</v>
      </c>
      <c r="F11" s="28">
        <v>0.21999291343320859</v>
      </c>
      <c r="G11" s="28">
        <v>0.20743033192996099</v>
      </c>
      <c r="H11" s="28">
        <v>0.19253333126365305</v>
      </c>
      <c r="I11" s="28">
        <v>0.22780096763632193</v>
      </c>
      <c r="J11" s="28">
        <v>0.10776254551708486</v>
      </c>
      <c r="K11" s="28">
        <v>-1</v>
      </c>
      <c r="L11" s="28">
        <v>-1</v>
      </c>
      <c r="M11" s="28">
        <v>-1</v>
      </c>
      <c r="N11" s="28">
        <v>-1</v>
      </c>
      <c r="O11" s="28">
        <v>-1</v>
      </c>
      <c r="P11" s="28">
        <v>-1</v>
      </c>
    </row>
    <row r="12" spans="1:16" x14ac:dyDescent="0.2">
      <c r="A12" s="28" t="s">
        <v>22</v>
      </c>
      <c r="B12" s="28">
        <v>-1</v>
      </c>
      <c r="C12" s="28">
        <v>-1</v>
      </c>
      <c r="D12" s="28">
        <v>9.5792026136582054E-2</v>
      </c>
      <c r="E12" s="28">
        <v>0.14835870930473846</v>
      </c>
      <c r="F12" s="28">
        <v>0.16788921681885355</v>
      </c>
      <c r="G12" s="28">
        <v>0.14953624889520464</v>
      </c>
      <c r="H12" s="28">
        <v>0.12374336186824834</v>
      </c>
      <c r="I12" s="28">
        <v>0.15307770334708773</v>
      </c>
      <c r="J12" s="28">
        <v>-1</v>
      </c>
      <c r="K12" s="28">
        <v>-1</v>
      </c>
      <c r="L12" s="28">
        <v>-1</v>
      </c>
      <c r="M12" s="28">
        <v>-1</v>
      </c>
      <c r="N12" s="28">
        <v>-1</v>
      </c>
      <c r="O12" s="28">
        <v>-1</v>
      </c>
      <c r="P12" s="28">
        <v>-1</v>
      </c>
    </row>
    <row r="13" spans="1:16" x14ac:dyDescent="0.2">
      <c r="A13" s="28" t="s">
        <v>17</v>
      </c>
      <c r="B13" s="28">
        <v>-1</v>
      </c>
      <c r="C13" s="28">
        <v>-1</v>
      </c>
      <c r="D13" s="28">
        <v>0.1918296927212417</v>
      </c>
      <c r="E13" s="28">
        <v>0.21980749962338958</v>
      </c>
      <c r="F13" s="28">
        <v>0.21818028931373587</v>
      </c>
      <c r="G13" s="28">
        <v>0.25477163060633795</v>
      </c>
      <c r="H13" s="28">
        <v>0.2494253092093531</v>
      </c>
      <c r="I13" s="28">
        <v>0.1968629158926507</v>
      </c>
      <c r="J13" s="28">
        <v>-1</v>
      </c>
      <c r="K13" s="28">
        <v>-1</v>
      </c>
      <c r="L13" s="28">
        <v>-1</v>
      </c>
      <c r="M13" s="28">
        <v>-1</v>
      </c>
      <c r="N13" s="28">
        <v>-1</v>
      </c>
      <c r="O13" s="28">
        <v>-1</v>
      </c>
      <c r="P13" s="28">
        <v>-1</v>
      </c>
    </row>
    <row r="14" spans="1:16" x14ac:dyDescent="0.2">
      <c r="A14" s="28" t="s">
        <v>20</v>
      </c>
      <c r="B14" s="28">
        <v>-1</v>
      </c>
      <c r="C14" s="28">
        <v>-3.9278280683259691E-2</v>
      </c>
      <c r="D14" s="28">
        <v>0.30030152924085662</v>
      </c>
      <c r="E14" s="28">
        <v>0.297407102568224</v>
      </c>
      <c r="F14" s="28">
        <v>0.34084842366735463</v>
      </c>
      <c r="G14" s="28">
        <v>0.33182081164740407</v>
      </c>
      <c r="H14" s="28">
        <v>6.4798887578730827E-2</v>
      </c>
      <c r="I14" s="28">
        <v>0.26616304299704907</v>
      </c>
      <c r="J14" s="28">
        <v>-1</v>
      </c>
      <c r="K14" s="28">
        <v>-1</v>
      </c>
      <c r="L14" s="28">
        <v>-1</v>
      </c>
      <c r="M14" s="28">
        <v>-1</v>
      </c>
      <c r="N14" s="28">
        <v>-1</v>
      </c>
      <c r="O14" s="28">
        <v>-1</v>
      </c>
      <c r="P14" s="28">
        <v>-1</v>
      </c>
    </row>
    <row r="15" spans="1:16" x14ac:dyDescent="0.2">
      <c r="A15" s="28" t="s">
        <v>23</v>
      </c>
      <c r="B15" s="28">
        <v>-1</v>
      </c>
      <c r="C15" s="28">
        <v>-1</v>
      </c>
      <c r="D15" s="28">
        <v>0.30091027649851954</v>
      </c>
      <c r="E15" s="28">
        <v>0.32326345728551048</v>
      </c>
      <c r="F15" s="28">
        <v>0.16931437772029129</v>
      </c>
      <c r="G15" s="28">
        <v>0.17479853760005332</v>
      </c>
      <c r="H15" s="28">
        <v>0.2308933594573668</v>
      </c>
      <c r="I15" s="28">
        <v>0.17258880687834216</v>
      </c>
      <c r="J15" s="28">
        <v>4.3928920532695308E-2</v>
      </c>
      <c r="K15" s="28">
        <v>-1</v>
      </c>
      <c r="L15" s="28">
        <v>-1</v>
      </c>
      <c r="M15" s="28">
        <v>-1</v>
      </c>
      <c r="N15" s="28">
        <v>-1</v>
      </c>
      <c r="O15" s="28">
        <v>-1</v>
      </c>
      <c r="P15" s="28">
        <v>-1</v>
      </c>
    </row>
    <row r="16" spans="1:16" x14ac:dyDescent="0.2">
      <c r="A16" s="28" t="s">
        <v>30</v>
      </c>
      <c r="B16" s="28">
        <v>0.26043127195607563</v>
      </c>
      <c r="C16" s="28">
        <v>0.21140399746346983</v>
      </c>
      <c r="D16" s="28">
        <v>-9.7463918137980859E-2</v>
      </c>
      <c r="E16" s="28">
        <v>-1</v>
      </c>
      <c r="F16" s="28">
        <v>-1</v>
      </c>
      <c r="G16" s="28">
        <v>-1</v>
      </c>
      <c r="H16" s="28">
        <v>-1</v>
      </c>
      <c r="I16" s="28">
        <v>-1</v>
      </c>
      <c r="J16" s="28">
        <v>-1</v>
      </c>
      <c r="K16" s="28">
        <v>-1</v>
      </c>
      <c r="L16" s="28">
        <v>-1</v>
      </c>
      <c r="M16" s="28">
        <v>1.2374139736325885E-3</v>
      </c>
      <c r="N16" s="28">
        <v>-7.5328339800472032E-4</v>
      </c>
      <c r="O16" s="28">
        <v>0.22311563939218179</v>
      </c>
      <c r="P16" s="28">
        <v>7.7337882768134622E-2</v>
      </c>
    </row>
    <row r="17" spans="1:16" x14ac:dyDescent="0.2">
      <c r="A17" s="28" t="s">
        <v>24</v>
      </c>
      <c r="B17" s="28">
        <v>0.29543387780846642</v>
      </c>
      <c r="C17" s="28">
        <v>0.25792396907215953</v>
      </c>
      <c r="D17" s="28">
        <v>-0.1113046203402895</v>
      </c>
      <c r="E17" s="28">
        <v>-1</v>
      </c>
      <c r="F17" s="28">
        <v>-1</v>
      </c>
      <c r="G17" s="28">
        <v>-1</v>
      </c>
      <c r="H17" s="28">
        <v>-0.11961919701038073</v>
      </c>
      <c r="I17" s="28">
        <v>-1</v>
      </c>
      <c r="J17" s="28">
        <v>-1</v>
      </c>
      <c r="K17" s="28">
        <v>-1</v>
      </c>
      <c r="L17" s="28">
        <v>-1</v>
      </c>
      <c r="M17" s="28">
        <v>-2.3624162347169711E-3</v>
      </c>
      <c r="N17" s="28">
        <v>0.11877795925568362</v>
      </c>
      <c r="O17" s="28">
        <v>0.1514100675633949</v>
      </c>
      <c r="P17" s="28">
        <v>0.10064586577502949</v>
      </c>
    </row>
    <row r="18" spans="1:16" x14ac:dyDescent="0.2">
      <c r="A18" s="28" t="s">
        <v>27</v>
      </c>
      <c r="B18" s="28">
        <v>0.27385211220433919</v>
      </c>
      <c r="C18" s="28">
        <v>0.28038868966035374</v>
      </c>
      <c r="D18" s="28">
        <v>-2.0098227962796252E-2</v>
      </c>
      <c r="E18" s="28">
        <v>-1</v>
      </c>
      <c r="F18" s="28">
        <v>-1</v>
      </c>
      <c r="G18" s="28">
        <v>-1</v>
      </c>
      <c r="H18" s="28">
        <v>-1</v>
      </c>
      <c r="I18" s="28">
        <v>-1</v>
      </c>
      <c r="J18" s="28">
        <v>-1</v>
      </c>
      <c r="K18" s="28">
        <v>-1</v>
      </c>
      <c r="L18" s="28">
        <v>-1</v>
      </c>
      <c r="M18" s="28">
        <v>-1</v>
      </c>
      <c r="N18" s="28">
        <v>-1</v>
      </c>
      <c r="O18" s="28">
        <v>0.24077717915330238</v>
      </c>
      <c r="P18" s="28">
        <v>7.8639304990988021E-2</v>
      </c>
    </row>
    <row r="19" spans="1:16" x14ac:dyDescent="0.2">
      <c r="A19" s="28" t="s">
        <v>28</v>
      </c>
      <c r="B19" s="28">
        <v>0.30574661854562002</v>
      </c>
      <c r="C19" s="28">
        <v>0.280475791110677</v>
      </c>
      <c r="D19" s="28">
        <v>-0.1389330736185086</v>
      </c>
      <c r="E19" s="28">
        <v>-1</v>
      </c>
      <c r="F19" s="28">
        <v>-1</v>
      </c>
      <c r="G19" s="28">
        <v>-1</v>
      </c>
      <c r="H19" s="28">
        <v>-0.15060080498436418</v>
      </c>
      <c r="I19" s="28">
        <v>-1</v>
      </c>
      <c r="J19" s="28">
        <v>-1</v>
      </c>
      <c r="K19" s="28">
        <v>-1</v>
      </c>
      <c r="L19" s="28">
        <v>-1</v>
      </c>
      <c r="M19" s="28">
        <v>-4.5781768874326688E-2</v>
      </c>
      <c r="N19" s="28">
        <v>-3.7442391330398353E-2</v>
      </c>
      <c r="O19" s="28">
        <v>0.10088552040834599</v>
      </c>
      <c r="P19" s="28">
        <v>6.63479073986767E-2</v>
      </c>
    </row>
    <row r="20" spans="1:16" x14ac:dyDescent="0.2">
      <c r="A20" s="28" t="s">
        <v>301</v>
      </c>
      <c r="B20" s="28">
        <v>0.20575575578412034</v>
      </c>
      <c r="C20" s="28">
        <v>0.206499221710226</v>
      </c>
      <c r="D20" s="28">
        <v>-0.20770775092922344</v>
      </c>
      <c r="E20" s="28">
        <v>-0.23368368366048181</v>
      </c>
      <c r="F20" s="28">
        <v>-1</v>
      </c>
      <c r="G20" s="28">
        <v>-1</v>
      </c>
      <c r="H20" s="28">
        <v>-1</v>
      </c>
      <c r="I20" s="28">
        <v>-1</v>
      </c>
      <c r="J20" s="28">
        <v>-1</v>
      </c>
      <c r="K20" s="28">
        <v>-6.6554156791646557E-2</v>
      </c>
      <c r="L20" s="28">
        <v>-5.2597069362698812E-2</v>
      </c>
      <c r="M20" s="28">
        <v>4.2882470370191897E-2</v>
      </c>
      <c r="N20" s="28">
        <v>2.2293479744752917E-2</v>
      </c>
      <c r="O20" s="28">
        <v>0.21318036460518269</v>
      </c>
      <c r="P20" s="28">
        <v>0.10969151879970282</v>
      </c>
    </row>
    <row r="21" spans="1:16" x14ac:dyDescent="0.2">
      <c r="A21" s="28" t="s">
        <v>26</v>
      </c>
      <c r="B21" s="28">
        <v>0.35748466689303998</v>
      </c>
      <c r="C21" s="28">
        <v>0.32330732127090411</v>
      </c>
      <c r="D21" s="28">
        <v>-6.111339989255167E-2</v>
      </c>
      <c r="E21" s="28">
        <v>-5.9610444160245683E-2</v>
      </c>
      <c r="F21" s="28">
        <v>-1</v>
      </c>
      <c r="G21" s="28">
        <v>-1</v>
      </c>
      <c r="H21" s="28">
        <v>-1</v>
      </c>
      <c r="I21" s="28">
        <v>-1</v>
      </c>
      <c r="J21" s="28">
        <v>-1</v>
      </c>
      <c r="K21" s="28">
        <v>-1</v>
      </c>
      <c r="L21" s="28">
        <v>-1</v>
      </c>
      <c r="M21" s="28">
        <v>2.6606289219099376E-2</v>
      </c>
      <c r="N21" s="28">
        <v>-4.3278968618472432E-3</v>
      </c>
      <c r="O21" s="28">
        <v>0.25778512665354292</v>
      </c>
      <c r="P21" s="28">
        <v>0.13371395083485829</v>
      </c>
    </row>
    <row r="22" spans="1:16" x14ac:dyDescent="0.2">
      <c r="A22" s="28" t="s">
        <v>25</v>
      </c>
      <c r="B22" s="28">
        <v>0.29023653294398422</v>
      </c>
      <c r="C22" s="28">
        <v>0.29494345982632114</v>
      </c>
      <c r="D22" s="28">
        <v>-7.7094432262137219E-2</v>
      </c>
      <c r="E22" s="28">
        <v>-1</v>
      </c>
      <c r="F22" s="28">
        <v>-1</v>
      </c>
      <c r="G22" s="28">
        <v>-1</v>
      </c>
      <c r="H22" s="28">
        <v>-1</v>
      </c>
      <c r="I22" s="28">
        <v>-1</v>
      </c>
      <c r="J22" s="28">
        <v>-1</v>
      </c>
      <c r="K22" s="28">
        <v>-1</v>
      </c>
      <c r="L22" s="28">
        <v>-1</v>
      </c>
      <c r="M22" s="28">
        <v>-5.8040578922187759E-2</v>
      </c>
      <c r="N22" s="28">
        <v>2.2881918465210434E-2</v>
      </c>
      <c r="O22" s="28">
        <v>0.34761745684624273</v>
      </c>
      <c r="P22" s="28">
        <v>0.21303125704782716</v>
      </c>
    </row>
    <row r="23" spans="1:16" x14ac:dyDescent="0.2">
      <c r="A23" s="28" t="s">
        <v>38</v>
      </c>
      <c r="B23" s="28">
        <v>-1</v>
      </c>
      <c r="C23" s="28">
        <v>-1</v>
      </c>
      <c r="D23" s="28">
        <v>3.1206196485470003E-2</v>
      </c>
      <c r="E23" s="28">
        <v>4.4422867153265939E-2</v>
      </c>
      <c r="F23" s="28">
        <v>-1</v>
      </c>
      <c r="G23" s="28">
        <v>-1</v>
      </c>
      <c r="H23" s="28">
        <v>-8.6159392273635199E-2</v>
      </c>
      <c r="I23" s="28">
        <v>-1</v>
      </c>
      <c r="J23" s="28">
        <v>-1</v>
      </c>
      <c r="K23" s="28">
        <v>-1</v>
      </c>
      <c r="L23" s="28">
        <v>-1</v>
      </c>
      <c r="M23" s="28">
        <v>-1</v>
      </c>
      <c r="N23" s="28">
        <v>-4.1309559055160934E-2</v>
      </c>
      <c r="O23" s="28">
        <v>-1</v>
      </c>
      <c r="P23" s="28">
        <v>-1</v>
      </c>
    </row>
    <row r="24" spans="1:16" x14ac:dyDescent="0.2">
      <c r="A24" s="28" t="s">
        <v>239</v>
      </c>
      <c r="B24" s="28">
        <v>-1</v>
      </c>
      <c r="C24" s="28">
        <v>0.15590509742326902</v>
      </c>
      <c r="D24" s="28">
        <v>9.6512552299281296E-2</v>
      </c>
      <c r="E24" s="28">
        <v>7.4926817278771887E-2</v>
      </c>
      <c r="F24" s="28">
        <v>0.11588425240644289</v>
      </c>
      <c r="G24" s="28">
        <v>6.576451279286559E-2</v>
      </c>
      <c r="H24" s="28">
        <v>-1</v>
      </c>
      <c r="I24" s="28">
        <v>-1</v>
      </c>
      <c r="J24" s="28">
        <v>-1</v>
      </c>
      <c r="K24" s="28">
        <v>-1</v>
      </c>
      <c r="L24" s="28">
        <v>-1</v>
      </c>
      <c r="M24" s="28">
        <v>-1</v>
      </c>
      <c r="N24" s="28">
        <v>-1</v>
      </c>
      <c r="O24" s="28">
        <v>-1</v>
      </c>
      <c r="P24" s="28">
        <v>-1</v>
      </c>
    </row>
    <row r="25" spans="1:16" x14ac:dyDescent="0.2">
      <c r="A25" s="28" t="s">
        <v>35</v>
      </c>
      <c r="B25" s="28">
        <v>-3.9901334302278726E-2</v>
      </c>
      <c r="C25" s="28">
        <v>0.12546103326588262</v>
      </c>
      <c r="D25" s="28">
        <v>-3.4166212459234277E-2</v>
      </c>
      <c r="E25" s="28">
        <v>1.4001413894053827E-2</v>
      </c>
      <c r="F25" s="28">
        <v>7.8865418393549866E-2</v>
      </c>
      <c r="G25" s="28">
        <v>-1.9420119234898111E-2</v>
      </c>
      <c r="H25" s="28">
        <v>-1.6118340832070581E-2</v>
      </c>
      <c r="I25" s="28">
        <v>9.6463375181043545E-2</v>
      </c>
      <c r="J25" s="28">
        <v>-1</v>
      </c>
      <c r="K25" s="28">
        <v>-1</v>
      </c>
      <c r="L25" s="28">
        <v>-2.5403602682341268E-2</v>
      </c>
      <c r="M25" s="28">
        <v>-1</v>
      </c>
      <c r="N25" s="28">
        <v>-6.5486302418655941E-3</v>
      </c>
      <c r="O25" s="28">
        <v>-1</v>
      </c>
      <c r="P25" s="28">
        <v>-1</v>
      </c>
    </row>
    <row r="26" spans="1:16" x14ac:dyDescent="0.2">
      <c r="A26" s="28" t="s">
        <v>36</v>
      </c>
      <c r="B26" s="28">
        <v>-1</v>
      </c>
      <c r="C26" s="28">
        <v>8.213912822830137E-2</v>
      </c>
      <c r="D26" s="28">
        <v>0.18774285911429531</v>
      </c>
      <c r="E26" s="28">
        <v>0.15961219704102847</v>
      </c>
      <c r="F26" s="28">
        <v>0.16170141592284015</v>
      </c>
      <c r="G26" s="28">
        <v>0.1287446284389826</v>
      </c>
      <c r="H26" s="28">
        <v>-4.0089825408516121E-3</v>
      </c>
      <c r="I26" s="28">
        <v>-1</v>
      </c>
      <c r="J26" s="28">
        <v>-1</v>
      </c>
      <c r="K26" s="28">
        <v>-1</v>
      </c>
      <c r="L26" s="28">
        <v>-1</v>
      </c>
      <c r="M26" s="28">
        <v>-1</v>
      </c>
      <c r="N26" s="28">
        <v>-1</v>
      </c>
      <c r="O26" s="28">
        <v>-1</v>
      </c>
      <c r="P26" s="28">
        <v>-1</v>
      </c>
    </row>
    <row r="27" spans="1:16" x14ac:dyDescent="0.2">
      <c r="A27" s="28" t="s">
        <v>34</v>
      </c>
      <c r="B27" s="28">
        <v>0.10379907723684791</v>
      </c>
      <c r="C27" s="28">
        <v>0.13895190068216579</v>
      </c>
      <c r="D27" s="28">
        <v>-1.2259824586464577E-2</v>
      </c>
      <c r="E27" s="28">
        <v>-2.4454601568163008E-3</v>
      </c>
      <c r="F27" s="28">
        <v>4.6772514600402597E-2</v>
      </c>
      <c r="G27" s="28">
        <v>7.2615121920910422E-2</v>
      </c>
      <c r="H27" s="28">
        <v>-1</v>
      </c>
      <c r="I27" s="28">
        <v>9.9862567040224531E-2</v>
      </c>
      <c r="J27" s="28">
        <v>-1</v>
      </c>
      <c r="K27" s="28">
        <v>-1</v>
      </c>
      <c r="L27" s="28">
        <v>6.6424608382962672E-2</v>
      </c>
      <c r="M27" s="28">
        <v>-1</v>
      </c>
      <c r="N27" s="28">
        <v>-1</v>
      </c>
      <c r="O27" s="28">
        <v>-5.2533897401463737E-3</v>
      </c>
      <c r="P27" s="28">
        <v>-1</v>
      </c>
    </row>
    <row r="28" spans="1:16" x14ac:dyDescent="0.2">
      <c r="A28" s="28" t="s">
        <v>32</v>
      </c>
      <c r="B28" s="28">
        <v>0.17492583450226878</v>
      </c>
      <c r="C28" s="28">
        <v>0.23202898700901847</v>
      </c>
      <c r="D28" s="28">
        <v>6.0818007934806788E-2</v>
      </c>
      <c r="E28" s="28">
        <v>4.3517034141385941E-2</v>
      </c>
      <c r="F28" s="28">
        <v>-0.10837180991187824</v>
      </c>
      <c r="G28" s="28">
        <v>7.1378896002363221E-3</v>
      </c>
      <c r="H28" s="28">
        <v>1.3402006747874617E-2</v>
      </c>
      <c r="I28" s="28">
        <v>0.25655369495007951</v>
      </c>
      <c r="J28" s="28">
        <v>0.10653809636085909</v>
      </c>
      <c r="K28" s="28">
        <v>-5.4835244807612997E-3</v>
      </c>
      <c r="L28" s="28">
        <v>0.13075366541286707</v>
      </c>
      <c r="M28" s="28">
        <v>0.22097877117211265</v>
      </c>
      <c r="N28" s="28">
        <v>0.25128772883598688</v>
      </c>
      <c r="O28" s="28">
        <v>0.23143040379387403</v>
      </c>
      <c r="P28" s="28">
        <v>0.19785256370122936</v>
      </c>
    </row>
    <row r="29" spans="1:16" x14ac:dyDescent="0.2">
      <c r="A29" s="28" t="s">
        <v>49</v>
      </c>
      <c r="B29" s="28">
        <v>0.32394786054715918</v>
      </c>
      <c r="C29" s="28">
        <v>0.33935282985778037</v>
      </c>
      <c r="D29" s="28">
        <v>0.15594335917837754</v>
      </c>
      <c r="E29" s="28">
        <v>0.29967578706012782</v>
      </c>
      <c r="F29" s="28">
        <v>0.1270705726372196</v>
      </c>
      <c r="G29" s="28">
        <v>0.24666911406830594</v>
      </c>
      <c r="H29" s="28">
        <v>-1</v>
      </c>
      <c r="I29" s="28">
        <v>-1</v>
      </c>
      <c r="J29" s="28">
        <v>-1</v>
      </c>
      <c r="K29" s="28">
        <v>-1</v>
      </c>
      <c r="L29" s="28">
        <v>-1</v>
      </c>
      <c r="M29" s="28">
        <v>-1</v>
      </c>
      <c r="N29" s="28">
        <v>-1</v>
      </c>
      <c r="O29" s="28">
        <v>-1.2475203218054108E-2</v>
      </c>
      <c r="P29" s="28">
        <v>-1</v>
      </c>
    </row>
    <row r="30" spans="1:16" x14ac:dyDescent="0.2">
      <c r="A30" s="28" t="s">
        <v>48</v>
      </c>
      <c r="B30" s="28">
        <v>-5.6590629221979485E-3</v>
      </c>
      <c r="C30" s="28">
        <v>-1.1084235576712695E-2</v>
      </c>
      <c r="D30" s="28">
        <v>4.3756337111972417E-2</v>
      </c>
      <c r="E30" s="28">
        <v>0.13012299595271873</v>
      </c>
      <c r="F30" s="28">
        <v>0.14696750163885192</v>
      </c>
      <c r="G30" s="28">
        <v>0.13441611380061552</v>
      </c>
      <c r="H30" s="28">
        <v>-4.431459853590735E-2</v>
      </c>
      <c r="I30" s="28">
        <v>7.6644625246449424E-2</v>
      </c>
      <c r="J30" s="28">
        <v>2.1771443054944301E-2</v>
      </c>
      <c r="K30" s="28">
        <v>-1</v>
      </c>
      <c r="L30" s="28">
        <v>-0.10564454391782314</v>
      </c>
      <c r="M30" s="28">
        <v>-1</v>
      </c>
      <c r="N30" s="28">
        <v>-1</v>
      </c>
      <c r="O30" s="28">
        <v>-1</v>
      </c>
      <c r="P30" s="28">
        <v>-1</v>
      </c>
    </row>
    <row r="31" spans="1:16" x14ac:dyDescent="0.2">
      <c r="A31" s="28" t="s">
        <v>50</v>
      </c>
      <c r="B31" s="28">
        <v>-8.8039994179118619E-2</v>
      </c>
      <c r="C31" s="28">
        <v>-3.0607919517192696E-2</v>
      </c>
      <c r="D31" s="28">
        <v>4.3413967448155934E-2</v>
      </c>
      <c r="E31" s="28">
        <v>3.522737657445732E-2</v>
      </c>
      <c r="F31" s="28">
        <v>7.7543882261377059E-3</v>
      </c>
      <c r="G31" s="28">
        <v>-1.5931076067781918E-2</v>
      </c>
      <c r="H31" s="28">
        <v>-1.2401824807403643E-2</v>
      </c>
      <c r="I31" s="28">
        <v>-2.2132426760137148E-2</v>
      </c>
      <c r="J31" s="28">
        <v>-1</v>
      </c>
      <c r="K31" s="28">
        <v>-1</v>
      </c>
      <c r="L31" s="28">
        <v>-1</v>
      </c>
      <c r="M31" s="28">
        <v>-1</v>
      </c>
      <c r="N31" s="28">
        <v>-1</v>
      </c>
      <c r="O31" s="28">
        <v>-1</v>
      </c>
      <c r="P31" s="28">
        <v>-1</v>
      </c>
    </row>
    <row r="32" spans="1:16" x14ac:dyDescent="0.2">
      <c r="A32" s="28" t="s">
        <v>51</v>
      </c>
      <c r="B32" s="28">
        <v>-0.11425336640900513</v>
      </c>
      <c r="C32" s="28">
        <v>-8.6116183351742356E-2</v>
      </c>
      <c r="D32" s="28">
        <v>-5.4175719378453245E-2</v>
      </c>
      <c r="E32" s="28">
        <v>-5.2521507249433316E-2</v>
      </c>
      <c r="F32" s="28">
        <v>0.11290868176936185</v>
      </c>
      <c r="G32" s="28">
        <v>-3.416055825464742E-3</v>
      </c>
      <c r="H32" s="28">
        <v>-8.8174556916597854E-2</v>
      </c>
      <c r="I32" s="28">
        <v>-4.1755386519880242E-2</v>
      </c>
      <c r="J32" s="28">
        <v>-1</v>
      </c>
      <c r="K32" s="28">
        <v>-1</v>
      </c>
      <c r="L32" s="28">
        <v>-1</v>
      </c>
      <c r="M32" s="28">
        <v>-1</v>
      </c>
      <c r="N32" s="28">
        <v>-1</v>
      </c>
      <c r="O32" s="28">
        <v>-1</v>
      </c>
      <c r="P32" s="28">
        <v>-1</v>
      </c>
    </row>
    <row r="33" spans="1:16" x14ac:dyDescent="0.2">
      <c r="A33" s="28" t="s">
        <v>244</v>
      </c>
      <c r="B33" s="28">
        <v>-6.2646128371657339E-2</v>
      </c>
      <c r="C33" s="28">
        <v>-4.5677615218087636E-2</v>
      </c>
      <c r="D33" s="28">
        <v>0.16951341372747539</v>
      </c>
      <c r="E33" s="28">
        <v>0.22038158649368125</v>
      </c>
      <c r="F33" s="28">
        <v>8.5912083730507807E-2</v>
      </c>
      <c r="G33" s="28">
        <v>0.10823961452352497</v>
      </c>
      <c r="H33" s="28">
        <v>7.4916296274452843E-2</v>
      </c>
      <c r="I33" s="28">
        <v>7.2931605294642543E-2</v>
      </c>
      <c r="J33" s="28">
        <v>-4.1591981908495605E-2</v>
      </c>
      <c r="K33" s="28">
        <v>-2.2024111608419255E-2</v>
      </c>
      <c r="L33" s="28">
        <v>-7.0550274234672181E-2</v>
      </c>
      <c r="M33" s="28">
        <v>-1</v>
      </c>
      <c r="N33" s="28">
        <v>-1</v>
      </c>
      <c r="O33" s="28">
        <v>-1</v>
      </c>
      <c r="P33" s="28">
        <v>-1</v>
      </c>
    </row>
    <row r="34" spans="1:16" x14ac:dyDescent="0.2">
      <c r="A34" s="28" t="s">
        <v>245</v>
      </c>
      <c r="B34" s="28">
        <v>2.1741547443913094E-2</v>
      </c>
      <c r="C34" s="28">
        <v>6.03489904287378E-2</v>
      </c>
      <c r="D34" s="28">
        <v>0.1150818533176126</v>
      </c>
      <c r="E34" s="28">
        <v>0.12237696837016954</v>
      </c>
      <c r="F34" s="28">
        <v>0.11152521105058091</v>
      </c>
      <c r="G34" s="28">
        <v>0.10033215080109342</v>
      </c>
      <c r="H34" s="28">
        <v>1.0252767166955645E-2</v>
      </c>
      <c r="I34" s="28">
        <v>5.3096648613961114E-2</v>
      </c>
      <c r="J34" s="28">
        <v>-1</v>
      </c>
      <c r="K34" s="28">
        <v>-1</v>
      </c>
      <c r="L34" s="28">
        <v>-1</v>
      </c>
      <c r="M34" s="28">
        <v>-1</v>
      </c>
      <c r="N34" s="28">
        <v>-1</v>
      </c>
      <c r="O34" s="28">
        <v>-1</v>
      </c>
      <c r="P34" s="28">
        <v>-1</v>
      </c>
    </row>
    <row r="35" spans="1:16" x14ac:dyDescent="0.2">
      <c r="A35" s="28" t="s">
        <v>252</v>
      </c>
      <c r="B35" s="28">
        <v>4.7225401534759723E-3</v>
      </c>
      <c r="C35" s="28">
        <v>0.10218231414521213</v>
      </c>
      <c r="D35" s="28">
        <v>8.4763410020405841E-2</v>
      </c>
      <c r="E35" s="28">
        <v>0.10172159074342912</v>
      </c>
      <c r="F35" s="28">
        <v>5.1328040364157217E-2</v>
      </c>
      <c r="G35" s="28">
        <v>-1</v>
      </c>
      <c r="H35" s="28">
        <v>-1</v>
      </c>
      <c r="I35" s="28">
        <v>-1</v>
      </c>
      <c r="J35" s="28">
        <v>-1</v>
      </c>
      <c r="K35" s="28">
        <v>-1</v>
      </c>
      <c r="L35" s="28">
        <v>-1</v>
      </c>
      <c r="M35" s="28">
        <v>-1</v>
      </c>
      <c r="N35" s="28">
        <v>-1</v>
      </c>
      <c r="O35" s="28">
        <v>-1</v>
      </c>
      <c r="P35" s="28">
        <v>-1</v>
      </c>
    </row>
    <row r="36" spans="1:16" x14ac:dyDescent="0.2">
      <c r="A36" s="28" t="s">
        <v>241</v>
      </c>
      <c r="B36" s="28">
        <v>-4.2532969861964837E-2</v>
      </c>
      <c r="C36" s="28">
        <v>8.2877173642264892E-2</v>
      </c>
      <c r="D36" s="28">
        <v>5.8261161294285234E-2</v>
      </c>
      <c r="E36" s="28">
        <v>0.29611258612306923</v>
      </c>
      <c r="F36" s="28">
        <v>6.2326113468703419E-2</v>
      </c>
      <c r="G36" s="28">
        <v>0.2798536370538906</v>
      </c>
      <c r="H36" s="28">
        <v>9.6569599773399031E-2</v>
      </c>
      <c r="I36" s="28">
        <v>0.15490141909356719</v>
      </c>
      <c r="J36" s="28">
        <v>7.9085870509001746E-2</v>
      </c>
      <c r="K36" s="28">
        <v>-9.1804381610830307E-2</v>
      </c>
      <c r="L36" s="28">
        <v>3.6379189069135308E-3</v>
      </c>
      <c r="M36" s="28">
        <v>-1</v>
      </c>
      <c r="N36" s="28">
        <v>-1</v>
      </c>
      <c r="O36" s="28">
        <v>-1</v>
      </c>
      <c r="P36" s="28">
        <v>-1</v>
      </c>
    </row>
    <row r="37" spans="1:16" x14ac:dyDescent="0.2">
      <c r="A37" s="28" t="s">
        <v>242</v>
      </c>
      <c r="B37" s="28">
        <v>0.27937590787565303</v>
      </c>
      <c r="C37" s="28">
        <v>0.20174157785346736</v>
      </c>
      <c r="D37" s="28">
        <v>-3.5704588279127224E-2</v>
      </c>
      <c r="E37" s="28">
        <v>8.4549865464452131E-2</v>
      </c>
      <c r="F37" s="28">
        <v>8.1434429819059434E-2</v>
      </c>
      <c r="G37" s="28">
        <v>-1</v>
      </c>
      <c r="H37" s="28">
        <v>-1</v>
      </c>
      <c r="I37" s="28">
        <v>-1</v>
      </c>
      <c r="J37" s="28">
        <v>-1</v>
      </c>
      <c r="K37" s="28">
        <v>-1</v>
      </c>
      <c r="L37" s="28">
        <v>-1</v>
      </c>
      <c r="M37" s="28">
        <v>-1</v>
      </c>
      <c r="N37" s="28">
        <v>-1</v>
      </c>
      <c r="O37" s="28">
        <v>-1</v>
      </c>
      <c r="P37" s="28">
        <v>-1</v>
      </c>
    </row>
    <row r="38" spans="1:16" x14ac:dyDescent="0.2">
      <c r="A38" s="28" t="s">
        <v>60</v>
      </c>
      <c r="B38" s="28">
        <v>8.3422983883953569E-2</v>
      </c>
      <c r="C38" s="28">
        <v>0.49716425396620129</v>
      </c>
      <c r="D38" s="28">
        <v>0.11344078931763465</v>
      </c>
      <c r="E38" s="28">
        <v>0.23110772412539404</v>
      </c>
      <c r="F38" s="28">
        <v>-1</v>
      </c>
      <c r="G38" s="28">
        <v>-1</v>
      </c>
      <c r="H38" s="28">
        <v>-8.3123944975587186E-2</v>
      </c>
      <c r="I38" s="28">
        <v>-1</v>
      </c>
      <c r="J38" s="28">
        <v>-1</v>
      </c>
      <c r="K38" s="28">
        <v>-1</v>
      </c>
      <c r="L38" s="28">
        <v>-1</v>
      </c>
      <c r="M38" s="28">
        <v>-1</v>
      </c>
      <c r="N38" s="28">
        <v>-1</v>
      </c>
      <c r="O38" s="28">
        <v>-1</v>
      </c>
      <c r="P38" s="28">
        <v>-1</v>
      </c>
    </row>
    <row r="39" spans="1:16" x14ac:dyDescent="0.2">
      <c r="A39" s="28" t="s">
        <v>240</v>
      </c>
      <c r="B39" s="28">
        <v>3.4226112647578834E-2</v>
      </c>
      <c r="C39" s="28">
        <v>9.6138815485796808E-2</v>
      </c>
      <c r="D39" s="28">
        <v>0.10016443123080465</v>
      </c>
      <c r="E39" s="28">
        <v>0.28476343754088579</v>
      </c>
      <c r="F39" s="28">
        <v>0.14151580597696417</v>
      </c>
      <c r="G39" s="28">
        <v>0.24670324414154493</v>
      </c>
      <c r="H39" s="28">
        <v>0.10768657172245288</v>
      </c>
      <c r="I39" s="28">
        <v>0.25184289657865111</v>
      </c>
      <c r="J39" s="28">
        <v>7.298984923172222E-2</v>
      </c>
      <c r="K39" s="28">
        <v>-7.6836061154164862E-3</v>
      </c>
      <c r="L39" s="28">
        <v>-4.9887579187451736E-2</v>
      </c>
      <c r="M39" s="28">
        <v>-1</v>
      </c>
      <c r="N39" s="28">
        <v>-1</v>
      </c>
      <c r="O39" s="28">
        <v>-1</v>
      </c>
      <c r="P39" s="28">
        <v>-1</v>
      </c>
    </row>
    <row r="40" spans="1:16" x14ac:dyDescent="0.2">
      <c r="A40" s="28" t="s">
        <v>243</v>
      </c>
      <c r="B40" s="28">
        <v>2.2207336771644302E-2</v>
      </c>
      <c r="C40" s="28">
        <v>2.5476615310273072E-2</v>
      </c>
      <c r="D40" s="28">
        <v>2.8698479390355157E-2</v>
      </c>
      <c r="E40" s="28">
        <v>8.8447591960974445E-2</v>
      </c>
      <c r="F40" s="28">
        <v>6.7340578463824116E-2</v>
      </c>
      <c r="G40" s="28">
        <v>0.10987301296793907</v>
      </c>
      <c r="H40" s="28">
        <v>-3.941825153095585E-2</v>
      </c>
      <c r="I40" s="28">
        <v>0.25522384378818203</v>
      </c>
      <c r="J40" s="28">
        <v>6.7848670129403932E-2</v>
      </c>
      <c r="K40" s="28">
        <v>-3.8577883714414424E-2</v>
      </c>
      <c r="L40" s="28">
        <v>-4.7827350583111154E-2</v>
      </c>
      <c r="M40" s="28">
        <v>-1</v>
      </c>
      <c r="N40" s="28">
        <v>-1</v>
      </c>
      <c r="O40" s="28">
        <v>-1</v>
      </c>
      <c r="P40" s="28">
        <v>-1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67A47-2151-4040-8F9B-1F9E2B3DECCE}">
  <dimension ref="A1:P22"/>
  <sheetViews>
    <sheetView zoomScale="130" zoomScaleNormal="130" workbookViewId="0">
      <selection activeCell="K18" sqref="K18"/>
    </sheetView>
  </sheetViews>
  <sheetFormatPr baseColWidth="10" defaultRowHeight="16" x14ac:dyDescent="0.2"/>
  <cols>
    <col min="1" max="1" width="14" bestFit="1" customWidth="1"/>
    <col min="2" max="4" width="6.6640625" bestFit="1" customWidth="1"/>
    <col min="5" max="5" width="7.83203125" bestFit="1" customWidth="1"/>
    <col min="6" max="7" width="6.6640625" bestFit="1" customWidth="1"/>
    <col min="8" max="8" width="7.83203125" bestFit="1" customWidth="1"/>
    <col min="9" max="16" width="6.6640625" bestFit="1" customWidth="1"/>
  </cols>
  <sheetData>
    <row r="1" spans="1:16" x14ac:dyDescent="0.2">
      <c r="B1" s="36" t="s">
        <v>83</v>
      </c>
      <c r="C1" s="36"/>
      <c r="D1" s="37" t="s">
        <v>82</v>
      </c>
      <c r="E1" s="37"/>
      <c r="F1" s="10" t="s">
        <v>87</v>
      </c>
      <c r="G1" s="36" t="s">
        <v>67</v>
      </c>
      <c r="H1" s="36"/>
      <c r="I1" s="36" t="s">
        <v>88</v>
      </c>
      <c r="J1" s="36"/>
      <c r="K1" s="36" t="s">
        <v>96</v>
      </c>
      <c r="L1" s="36"/>
      <c r="M1" s="36" t="s">
        <v>97</v>
      </c>
      <c r="N1" s="36"/>
      <c r="O1" s="36" t="s">
        <v>98</v>
      </c>
      <c r="P1" s="36"/>
    </row>
    <row r="2" spans="1:16" x14ac:dyDescent="0.2">
      <c r="A2" t="s">
        <v>93</v>
      </c>
      <c r="B2" s="20" t="s">
        <v>268</v>
      </c>
      <c r="C2" s="20" t="s">
        <v>269</v>
      </c>
      <c r="D2" s="20" t="s">
        <v>268</v>
      </c>
      <c r="E2" s="20" t="s">
        <v>269</v>
      </c>
      <c r="F2" s="20" t="s">
        <v>269</v>
      </c>
      <c r="G2" s="20" t="s">
        <v>268</v>
      </c>
      <c r="H2" s="20" t="s">
        <v>269</v>
      </c>
      <c r="I2" s="20" t="s">
        <v>268</v>
      </c>
      <c r="J2" s="20" t="s">
        <v>269</v>
      </c>
      <c r="K2" s="20" t="s">
        <v>268</v>
      </c>
      <c r="L2" s="20" t="s">
        <v>269</v>
      </c>
      <c r="M2" s="20" t="s">
        <v>268</v>
      </c>
      <c r="N2" s="20" t="s">
        <v>269</v>
      </c>
      <c r="O2" s="20" t="s">
        <v>268</v>
      </c>
      <c r="P2" s="20" t="s">
        <v>269</v>
      </c>
    </row>
    <row r="3" spans="1:16" x14ac:dyDescent="0.2">
      <c r="A3" s="10" t="s">
        <v>10</v>
      </c>
      <c r="B3" s="19">
        <f>'Selected group members'!S2</f>
        <v>-0.37901966260467568</v>
      </c>
      <c r="C3" s="19">
        <f>'Selected group members'!X2</f>
        <v>-0.74712761581191323</v>
      </c>
      <c r="D3" s="19">
        <f>'Selected group members'!AC2</f>
        <v>-3.4765302216635381E-2</v>
      </c>
      <c r="E3" s="19">
        <f>'Selected group members'!AH2</f>
        <v>-0.28548783030398683</v>
      </c>
      <c r="F3" s="19">
        <f>'Selected group members'!AM2</f>
        <v>0.1896927792761017</v>
      </c>
      <c r="G3" s="19">
        <f>'Selected group members'!I2</f>
        <v>-1</v>
      </c>
      <c r="H3" s="19">
        <f>'Selected group members'!N2</f>
        <v>-0.86928191367280117</v>
      </c>
      <c r="I3" s="19">
        <f>'Selected group members'!AR2</f>
        <v>0.27655058853235825</v>
      </c>
      <c r="J3" s="19">
        <f>'Selected group members'!AW2</f>
        <v>-8.8666556216982398E-2</v>
      </c>
      <c r="K3" s="19">
        <f>'Selected group members'!BB2</f>
        <v>-1</v>
      </c>
      <c r="L3" s="19">
        <f>'Selected group members'!BG2</f>
        <v>-1</v>
      </c>
      <c r="M3" s="19">
        <f>'Selected group members'!BL2</f>
        <v>-1</v>
      </c>
      <c r="N3" s="19">
        <f>'Selected group members'!BQ2</f>
        <v>-1</v>
      </c>
      <c r="O3" s="19">
        <f>'Selected group members'!BV2</f>
        <v>-1</v>
      </c>
      <c r="P3" s="19">
        <f>'Selected group members'!CA2</f>
        <v>-1</v>
      </c>
    </row>
    <row r="4" spans="1:16" x14ac:dyDescent="0.2">
      <c r="A4" s="10" t="s">
        <v>99</v>
      </c>
      <c r="B4" s="19">
        <f>'Selected group members'!S9</f>
        <v>0.20526830297638229</v>
      </c>
      <c r="C4" s="19">
        <f>'Selected group members'!X9</f>
        <v>0.2240422807666877</v>
      </c>
      <c r="D4" s="19">
        <f>'Selected group members'!AC9</f>
        <v>0.25418402810266194</v>
      </c>
      <c r="E4" s="19">
        <f>'Selected group members'!AH9</f>
        <v>0.24137236143846572</v>
      </c>
      <c r="F4" s="19">
        <f>'Selected group members'!AM9</f>
        <v>0.19681378991339318</v>
      </c>
      <c r="G4" s="19">
        <f>'Selected group members'!I9</f>
        <v>-1</v>
      </c>
      <c r="H4" s="19">
        <f>'Selected group members'!N9</f>
        <v>-0.86275404009760859</v>
      </c>
      <c r="I4" s="19">
        <f>'Selected group members'!AR9</f>
        <v>0.20903767342575691</v>
      </c>
      <c r="J4" s="19">
        <f>'Selected group members'!AW9</f>
        <v>-0.69261550485003132</v>
      </c>
      <c r="K4" s="19">
        <f>'Selected group members'!BB9</f>
        <v>-1</v>
      </c>
      <c r="L4" s="19">
        <f>'Selected group members'!BG9</f>
        <v>-1</v>
      </c>
      <c r="M4" s="19">
        <f>'Selected group members'!BL9</f>
        <v>-1</v>
      </c>
      <c r="N4" s="19">
        <f>'Selected group members'!BQ9</f>
        <v>-1</v>
      </c>
      <c r="O4" s="19">
        <f>'Selected group members'!BV9</f>
        <v>-1</v>
      </c>
      <c r="P4" s="19">
        <f>'Selected group members'!CA9</f>
        <v>-1</v>
      </c>
    </row>
    <row r="5" spans="1:16" x14ac:dyDescent="0.2">
      <c r="A5" t="s">
        <v>324</v>
      </c>
      <c r="B5" s="17">
        <f>'Selected group members'!R23</f>
        <v>-6.7447195537423774E-2</v>
      </c>
      <c r="C5" s="17">
        <f>'Selected group members'!W23</f>
        <v>-4.9211604175106761E-2</v>
      </c>
      <c r="D5" s="17">
        <f>'Selected group members'!AB23</f>
        <v>-0.11121457776026954</v>
      </c>
      <c r="E5" s="17">
        <f>'Selected group members'!AG23</f>
        <v>-5.9606128143504786E-2</v>
      </c>
      <c r="F5" s="17">
        <f>'Selected group members'!AL23</f>
        <v>-0.19635496308732522</v>
      </c>
      <c r="G5" s="17">
        <f>'Selected group members'!H23</f>
        <v>0.38680683457948961</v>
      </c>
      <c r="H5" s="17">
        <f>'Selected group members'!M23</f>
        <v>0.36395312546643138</v>
      </c>
      <c r="I5" s="17">
        <f>'Selected group members'!AQ23</f>
        <v>-1</v>
      </c>
      <c r="J5" s="17">
        <f>'Selected group members'!AV23</f>
        <v>-1</v>
      </c>
      <c r="K5" s="17">
        <f>'Selected group members'!BA23</f>
        <v>-6.4336264467247814E-2</v>
      </c>
      <c r="L5" s="17">
        <f>'Selected group members'!BF23</f>
        <v>-1.8975459492566203E-2</v>
      </c>
      <c r="M5" s="17">
        <f>'Selected group members'!BK23</f>
        <v>8.1806330346314127E-2</v>
      </c>
      <c r="N5" s="17">
        <f>'Selected group members'!BP23</f>
        <v>0.10243705035637667</v>
      </c>
      <c r="O5" s="17">
        <f>'Selected group members'!BU23</f>
        <v>0.11241707381433927</v>
      </c>
      <c r="P5" s="17">
        <f>'Selected group members'!BZ23</f>
        <v>0.18789994941639016</v>
      </c>
    </row>
    <row r="6" spans="1:16" x14ac:dyDescent="0.2">
      <c r="A6" s="10" t="s">
        <v>32</v>
      </c>
      <c r="B6" s="17">
        <f>'Selected group members'!S24</f>
        <v>5.4975596464692432E-2</v>
      </c>
      <c r="C6" s="17">
        <f>'Selected group members'!X24</f>
        <v>5.5672478225281631E-2</v>
      </c>
      <c r="D6" s="17">
        <f>'Selected group members'!AC24</f>
        <v>-0.11752470143144046</v>
      </c>
      <c r="E6" s="17">
        <f>'Selected group members'!AH24</f>
        <v>-0.12419299441365052</v>
      </c>
      <c r="F6" s="17">
        <f>'Selected group members'!AM24</f>
        <v>-0.34881411814978042</v>
      </c>
      <c r="G6" s="17">
        <f>'Selected group members'!I24</f>
        <v>-0.46019607042719368</v>
      </c>
      <c r="H6" s="17">
        <f>'Selected group members'!N24</f>
        <v>-4.4252308898560459E-2</v>
      </c>
      <c r="I6" s="17">
        <f>'Selected group members'!AR24</f>
        <v>-0.42452006047144208</v>
      </c>
      <c r="J6" s="17">
        <f>'Selected group members'!AW24</f>
        <v>-0.81557698393985678</v>
      </c>
      <c r="K6" s="17">
        <f>'Selected group members'!BB24</f>
        <v>-0.83424725408012679</v>
      </c>
      <c r="L6" s="17">
        <f>'Selected group members'!BG24</f>
        <v>-0.47137088814775191</v>
      </c>
      <c r="M6" s="17">
        <f>'Selected group members'!BL24</f>
        <v>-0.79650353813798125</v>
      </c>
      <c r="N6" s="17">
        <f>'Selected group members'!BQ24</f>
        <v>-0.46609507674350664</v>
      </c>
      <c r="O6" s="17">
        <f>'Selected group members'!BV24</f>
        <v>-0.62897049765771207</v>
      </c>
      <c r="P6" s="17">
        <f>'Selected group members'!CA24</f>
        <v>-0.80035790604979518</v>
      </c>
    </row>
    <row r="7" spans="1:16" x14ac:dyDescent="0.2">
      <c r="A7" s="10" t="s">
        <v>48</v>
      </c>
      <c r="B7" s="17">
        <f>'Selected group members'!S30</f>
        <v>7.1690271617505602E-2</v>
      </c>
      <c r="C7" s="17">
        <f>'Selected group members'!X30</f>
        <v>0.12657724776631035</v>
      </c>
      <c r="D7" s="17">
        <f>'Selected group members'!AC30</f>
        <v>9.6122645600415779E-2</v>
      </c>
      <c r="E7" s="17">
        <f>'Selected group members'!AH30</f>
        <v>9.3995542099839957E-2</v>
      </c>
      <c r="F7" s="17">
        <f>'Selected group members'!AM30</f>
        <v>-0.2139949367970912</v>
      </c>
      <c r="G7" s="17">
        <f>'Selected group members'!I30</f>
        <v>1.0669861733036034E-2</v>
      </c>
      <c r="H7" s="17">
        <f>'Selected group members'!N30</f>
        <v>3.3173375238808991E-2</v>
      </c>
      <c r="I7" s="17">
        <f>'Selected group members'!AR30</f>
        <v>-0.18286231654778509</v>
      </c>
      <c r="J7" s="17">
        <f>'Selected group members'!AW30</f>
        <v>-0.6039641077707103</v>
      </c>
      <c r="K7" s="17">
        <f>'Selected group members'!BB30</f>
        <v>-0.80440482232168387</v>
      </c>
      <c r="L7" s="17">
        <f>'Selected group members'!BG30</f>
        <v>-0.63523896363049903</v>
      </c>
      <c r="M7" s="17">
        <f>'Selected group members'!BL30</f>
        <v>-1</v>
      </c>
      <c r="N7" s="17">
        <f>'Selected group members'!BQ30</f>
        <v>-1</v>
      </c>
      <c r="O7" s="17">
        <f>'Selected group members'!BV30</f>
        <v>-0.80249504064361088</v>
      </c>
      <c r="P7" s="17">
        <f>'Selected group members'!CA30</f>
        <v>-1</v>
      </c>
    </row>
    <row r="8" spans="1:16" x14ac:dyDescent="0.2">
      <c r="A8" s="10" t="s">
        <v>60</v>
      </c>
      <c r="B8" s="17">
        <f>'Selected group members'!S35</f>
        <v>6.6386505184567263E-2</v>
      </c>
      <c r="C8" s="17">
        <f>'Selected group members'!X35</f>
        <v>0.17272568061833918</v>
      </c>
      <c r="D8" s="17">
        <f>'Selected group members'!AC35</f>
        <v>-6.9218545836672973E-2</v>
      </c>
      <c r="E8" s="17">
        <f>'Selected group members'!AH35</f>
        <v>-0.32331970786221886</v>
      </c>
      <c r="F8" s="17">
        <f>'Selected group members'!AM35</f>
        <v>-0.27257617969196218</v>
      </c>
      <c r="G8" s="17">
        <f>'Selected group members'!I35</f>
        <v>5.7594779844893432E-2</v>
      </c>
      <c r="H8" s="17">
        <f>'Selected group members'!N35</f>
        <v>0.1522756772617076</v>
      </c>
      <c r="I8" s="17">
        <f>'Selected group members'!AR35</f>
        <v>-0.32641931313223405</v>
      </c>
      <c r="J8" s="17">
        <f>'Selected group members'!AW35</f>
        <v>-0.54001080144712454</v>
      </c>
      <c r="K8" s="17">
        <f>'Selected group members'!BB35</f>
        <v>-0.59115226734866588</v>
      </c>
      <c r="L8" s="17">
        <f>'Selected group members'!BG35</f>
        <v>-0.58486814440909274</v>
      </c>
      <c r="M8" s="17">
        <f>'Selected group members'!BL35</f>
        <v>-1</v>
      </c>
      <c r="N8" s="17">
        <f>'Selected group members'!BQ35</f>
        <v>-1</v>
      </c>
      <c r="O8" s="17">
        <f>'Selected group members'!BV35</f>
        <v>-1</v>
      </c>
      <c r="P8" s="17">
        <f>'Selected group members'!CA35</f>
        <v>-1</v>
      </c>
    </row>
    <row r="15" spans="1:16" x14ac:dyDescent="0.2">
      <c r="J15" s="15"/>
    </row>
    <row r="16" spans="1:16" x14ac:dyDescent="0.2">
      <c r="A16" t="s">
        <v>93</v>
      </c>
      <c r="B16" s="10" t="s">
        <v>83</v>
      </c>
      <c r="C16" s="10" t="s">
        <v>82</v>
      </c>
      <c r="D16" s="10" t="s">
        <v>87</v>
      </c>
      <c r="E16" s="10" t="s">
        <v>88</v>
      </c>
      <c r="F16" s="10" t="s">
        <v>96</v>
      </c>
      <c r="G16" s="10" t="s">
        <v>67</v>
      </c>
      <c r="H16" s="10" t="s">
        <v>97</v>
      </c>
      <c r="I16" s="10" t="s">
        <v>98</v>
      </c>
      <c r="J16" s="15"/>
      <c r="N16" s="15"/>
    </row>
    <row r="17" spans="1:14" x14ac:dyDescent="0.2">
      <c r="A17" s="10" t="s">
        <v>10</v>
      </c>
      <c r="B17" s="17">
        <f t="shared" ref="B17:B22" si="0">AVERAGE(B3:C3)</f>
        <v>-0.56307363920829445</v>
      </c>
      <c r="C17" s="17">
        <f t="shared" ref="C17:C22" si="1">AVERAGE(D3:E3)</f>
        <v>-0.1601265662603111</v>
      </c>
      <c r="D17" s="17">
        <f t="shared" ref="D17:D22" si="2">F3</f>
        <v>0.1896927792761017</v>
      </c>
      <c r="E17" s="17">
        <f t="shared" ref="E17:E22" si="3">AVERAGE(I3:J3)</f>
        <v>9.3942016157687935E-2</v>
      </c>
      <c r="F17" s="17">
        <f t="shared" ref="F17:F22" si="4">AVERAGE(K3:L3)</f>
        <v>-1</v>
      </c>
      <c r="G17" s="17">
        <f t="shared" ref="G17:G22" si="5">AVERAGE(G3:H3)</f>
        <v>-0.93464095683640058</v>
      </c>
      <c r="H17" s="17">
        <f t="shared" ref="H17:H22" si="6">AVERAGE(M3:N3)</f>
        <v>-1</v>
      </c>
      <c r="I17" s="17">
        <f t="shared" ref="I17:I22" si="7">AVERAGE(O3:P3)</f>
        <v>-1</v>
      </c>
      <c r="K17" s="8">
        <f>MAX(B17:I22)</f>
        <v>0.37537998002296047</v>
      </c>
      <c r="N17" s="15"/>
    </row>
    <row r="18" spans="1:14" x14ac:dyDescent="0.2">
      <c r="A18" s="10" t="s">
        <v>99</v>
      </c>
      <c r="B18" s="17">
        <f t="shared" si="0"/>
        <v>0.21465529187153498</v>
      </c>
      <c r="C18" s="17">
        <f t="shared" si="1"/>
        <v>0.24777819477056384</v>
      </c>
      <c r="D18" s="17">
        <f t="shared" si="2"/>
        <v>0.19681378991339318</v>
      </c>
      <c r="E18" s="17">
        <f t="shared" si="3"/>
        <v>-0.2417889157121372</v>
      </c>
      <c r="F18" s="17">
        <f t="shared" si="4"/>
        <v>-1</v>
      </c>
      <c r="G18" s="17">
        <f t="shared" si="5"/>
        <v>-0.93137702004880429</v>
      </c>
      <c r="H18" s="17">
        <f t="shared" si="6"/>
        <v>-1</v>
      </c>
      <c r="I18" s="17">
        <f t="shared" si="7"/>
        <v>-1</v>
      </c>
    </row>
    <row r="19" spans="1:14" x14ac:dyDescent="0.2">
      <c r="A19" t="s">
        <v>324</v>
      </c>
      <c r="B19" s="17">
        <f t="shared" si="0"/>
        <v>-5.8329399856265271E-2</v>
      </c>
      <c r="C19" s="17">
        <f t="shared" si="1"/>
        <v>-8.5410352951887161E-2</v>
      </c>
      <c r="D19" s="17">
        <f t="shared" si="2"/>
        <v>-0.19635496308732522</v>
      </c>
      <c r="E19" s="17">
        <f t="shared" si="3"/>
        <v>-1</v>
      </c>
      <c r="F19" s="17">
        <f t="shared" si="4"/>
        <v>-4.1655861979907005E-2</v>
      </c>
      <c r="G19" s="17">
        <f t="shared" si="5"/>
        <v>0.37537998002296047</v>
      </c>
      <c r="H19" s="17">
        <f t="shared" si="6"/>
        <v>9.2121690351345403E-2</v>
      </c>
      <c r="I19" s="17">
        <f t="shared" si="7"/>
        <v>0.1501585116153647</v>
      </c>
    </row>
    <row r="20" spans="1:14" x14ac:dyDescent="0.2">
      <c r="A20" s="10" t="s">
        <v>32</v>
      </c>
      <c r="B20" s="17">
        <f t="shared" si="0"/>
        <v>5.5324037344987032E-2</v>
      </c>
      <c r="C20" s="17">
        <f t="shared" si="1"/>
        <v>-0.12085884792254549</v>
      </c>
      <c r="D20" s="17">
        <f t="shared" si="2"/>
        <v>-0.34881411814978042</v>
      </c>
      <c r="E20" s="17">
        <f t="shared" si="3"/>
        <v>-0.62004852220564943</v>
      </c>
      <c r="F20" s="17">
        <f t="shared" si="4"/>
        <v>-0.65280907111393938</v>
      </c>
      <c r="G20" s="17">
        <f t="shared" si="5"/>
        <v>-0.25222418966287707</v>
      </c>
      <c r="H20" s="17">
        <f t="shared" si="6"/>
        <v>-0.63129930744074392</v>
      </c>
      <c r="I20" s="17">
        <f t="shared" si="7"/>
        <v>-0.71466420185375368</v>
      </c>
    </row>
    <row r="21" spans="1:14" x14ac:dyDescent="0.2">
      <c r="A21" s="10" t="s">
        <v>48</v>
      </c>
      <c r="B21" s="17">
        <f t="shared" si="0"/>
        <v>9.9133759691907977E-2</v>
      </c>
      <c r="C21" s="17">
        <f t="shared" si="1"/>
        <v>9.5059093850127868E-2</v>
      </c>
      <c r="D21" s="17">
        <f t="shared" si="2"/>
        <v>-0.2139949367970912</v>
      </c>
      <c r="E21" s="17">
        <f t="shared" si="3"/>
        <v>-0.39341321215924768</v>
      </c>
      <c r="F21" s="17">
        <f t="shared" si="4"/>
        <v>-0.71982189297609145</v>
      </c>
      <c r="G21" s="17">
        <f t="shared" si="5"/>
        <v>2.1921618485922514E-2</v>
      </c>
      <c r="H21" s="17">
        <f t="shared" si="6"/>
        <v>-1</v>
      </c>
      <c r="I21" s="17">
        <f t="shared" si="7"/>
        <v>-0.90124752032180544</v>
      </c>
    </row>
    <row r="22" spans="1:14" x14ac:dyDescent="0.2">
      <c r="A22" s="10" t="s">
        <v>60</v>
      </c>
      <c r="B22" s="17">
        <f t="shared" si="0"/>
        <v>0.11955609290145322</v>
      </c>
      <c r="C22" s="17">
        <f t="shared" si="1"/>
        <v>-0.19626912684944592</v>
      </c>
      <c r="D22" s="17">
        <f t="shared" si="2"/>
        <v>-0.27257617969196218</v>
      </c>
      <c r="E22" s="17">
        <f t="shared" si="3"/>
        <v>-0.4332150572896793</v>
      </c>
      <c r="F22" s="17">
        <f t="shared" si="4"/>
        <v>-0.58801020587887931</v>
      </c>
      <c r="G22" s="17">
        <f t="shared" si="5"/>
        <v>0.10493522855330051</v>
      </c>
      <c r="H22" s="17">
        <f t="shared" si="6"/>
        <v>-1</v>
      </c>
      <c r="I22" s="17">
        <f t="shared" si="7"/>
        <v>-1</v>
      </c>
    </row>
  </sheetData>
  <mergeCells count="7">
    <mergeCell ref="M1:N1"/>
    <mergeCell ref="O1:P1"/>
    <mergeCell ref="I1:J1"/>
    <mergeCell ref="G1:H1"/>
    <mergeCell ref="B1:C1"/>
    <mergeCell ref="D1:E1"/>
    <mergeCell ref="K1:L1"/>
  </mergeCells>
  <conditionalFormatting sqref="B3:B8">
    <cfRule type="colorScale" priority="46">
      <colorScale>
        <cfvo type="min"/>
        <cfvo type="max"/>
        <color theme="0"/>
        <color theme="1"/>
      </colorScale>
    </cfRule>
  </conditionalFormatting>
  <conditionalFormatting sqref="B17:B22">
    <cfRule type="colorScale" priority="31">
      <colorScale>
        <cfvo type="min"/>
        <cfvo type="max"/>
        <color theme="0"/>
        <color theme="1"/>
      </colorScale>
    </cfRule>
  </conditionalFormatting>
  <conditionalFormatting sqref="B17:I2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3:P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3:C8">
    <cfRule type="colorScale" priority="48">
      <colorScale>
        <cfvo type="min"/>
        <cfvo type="max"/>
        <color theme="0"/>
        <color theme="1"/>
      </colorScale>
    </cfRule>
  </conditionalFormatting>
  <conditionalFormatting sqref="C17:C22">
    <cfRule type="colorScale" priority="33">
      <colorScale>
        <cfvo type="min"/>
        <cfvo type="max"/>
        <color theme="0"/>
        <color theme="1"/>
      </colorScale>
    </cfRule>
  </conditionalFormatting>
  <conditionalFormatting sqref="D3:D8">
    <cfRule type="colorScale" priority="50">
      <colorScale>
        <cfvo type="min"/>
        <cfvo type="max"/>
        <color theme="0"/>
        <color theme="1"/>
      </colorScale>
    </cfRule>
  </conditionalFormatting>
  <conditionalFormatting sqref="D17:D22">
    <cfRule type="colorScale" priority="35">
      <colorScale>
        <cfvo type="min"/>
        <cfvo type="max"/>
        <color theme="0"/>
        <color theme="1"/>
      </colorScale>
    </cfRule>
  </conditionalFormatting>
  <conditionalFormatting sqref="E3:E8">
    <cfRule type="colorScale" priority="52">
      <colorScale>
        <cfvo type="min"/>
        <cfvo type="max"/>
        <color theme="0"/>
        <color theme="1"/>
      </colorScale>
    </cfRule>
  </conditionalFormatting>
  <conditionalFormatting sqref="E17:E22">
    <cfRule type="colorScale" priority="39">
      <colorScale>
        <cfvo type="min"/>
        <cfvo type="max"/>
        <color theme="0"/>
        <color theme="1"/>
      </colorScale>
    </cfRule>
  </conditionalFormatting>
  <conditionalFormatting sqref="F3:F8">
    <cfRule type="colorScale" priority="54">
      <colorScale>
        <cfvo type="min"/>
        <cfvo type="max"/>
        <color theme="0"/>
        <color theme="1"/>
      </colorScale>
    </cfRule>
  </conditionalFormatting>
  <conditionalFormatting sqref="F17:F22">
    <cfRule type="colorScale" priority="41">
      <colorScale>
        <cfvo type="min"/>
        <cfvo type="max"/>
        <color theme="0"/>
        <color theme="1"/>
      </colorScale>
    </cfRule>
  </conditionalFormatting>
  <conditionalFormatting sqref="G3:G8">
    <cfRule type="colorScale" priority="56">
      <colorScale>
        <cfvo type="min"/>
        <cfvo type="max"/>
        <color theme="0"/>
        <color theme="1"/>
      </colorScale>
    </cfRule>
  </conditionalFormatting>
  <conditionalFormatting sqref="G17:G22">
    <cfRule type="colorScale" priority="37">
      <colorScale>
        <cfvo type="min"/>
        <cfvo type="max"/>
        <color theme="0"/>
        <color theme="1"/>
      </colorScale>
    </cfRule>
  </conditionalFormatting>
  <conditionalFormatting sqref="H3:H8">
    <cfRule type="colorScale" priority="58">
      <colorScale>
        <cfvo type="min"/>
        <cfvo type="max"/>
        <color theme="0"/>
        <color theme="1"/>
      </colorScale>
    </cfRule>
  </conditionalFormatting>
  <conditionalFormatting sqref="H17:H22">
    <cfRule type="colorScale" priority="43">
      <colorScale>
        <cfvo type="min"/>
        <cfvo type="max"/>
        <color theme="0"/>
        <color theme="1"/>
      </colorScale>
    </cfRule>
  </conditionalFormatting>
  <conditionalFormatting sqref="I3:I8">
    <cfRule type="colorScale" priority="60">
      <colorScale>
        <cfvo type="min"/>
        <cfvo type="max"/>
        <color theme="0"/>
        <color theme="1"/>
      </colorScale>
    </cfRule>
  </conditionalFormatting>
  <conditionalFormatting sqref="I17:I22">
    <cfRule type="colorScale" priority="45">
      <colorScale>
        <cfvo type="min"/>
        <cfvo type="max"/>
        <color theme="0"/>
        <color theme="1"/>
      </colorScale>
    </cfRule>
  </conditionalFormatting>
  <conditionalFormatting sqref="J3:J8">
    <cfRule type="colorScale" priority="62">
      <colorScale>
        <cfvo type="min"/>
        <cfvo type="max"/>
        <color theme="0"/>
        <color theme="1"/>
      </colorScale>
    </cfRule>
  </conditionalFormatting>
  <conditionalFormatting sqref="K3:K8">
    <cfRule type="colorScale" priority="64">
      <colorScale>
        <cfvo type="min"/>
        <cfvo type="max"/>
        <color theme="0"/>
        <color theme="1"/>
      </colorScale>
    </cfRule>
  </conditionalFormatting>
  <conditionalFormatting sqref="L3:L8">
    <cfRule type="colorScale" priority="66">
      <colorScale>
        <cfvo type="min"/>
        <cfvo type="max"/>
        <color theme="0"/>
        <color theme="1"/>
      </colorScale>
    </cfRule>
  </conditionalFormatting>
  <conditionalFormatting sqref="M3:M8">
    <cfRule type="colorScale" priority="68">
      <colorScale>
        <cfvo type="min"/>
        <cfvo type="max"/>
        <color theme="0"/>
        <color theme="1"/>
      </colorScale>
    </cfRule>
  </conditionalFormatting>
  <conditionalFormatting sqref="N3:N8">
    <cfRule type="colorScale" priority="70">
      <colorScale>
        <cfvo type="min"/>
        <cfvo type="max"/>
        <color theme="0"/>
        <color theme="1"/>
      </colorScale>
    </cfRule>
  </conditionalFormatting>
  <conditionalFormatting sqref="O3:O8">
    <cfRule type="colorScale" priority="72">
      <colorScale>
        <cfvo type="min"/>
        <cfvo type="max"/>
        <color theme="0"/>
        <color theme="1"/>
      </colorScale>
    </cfRule>
  </conditionalFormatting>
  <conditionalFormatting sqref="P3:P8">
    <cfRule type="colorScale" priority="74">
      <colorScale>
        <cfvo type="min"/>
        <cfvo type="max"/>
        <color theme="0"/>
        <color theme="1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1E9A-0A58-AE40-8F5D-E62329EE677D}">
  <dimension ref="A1:BL14"/>
  <sheetViews>
    <sheetView zoomScale="130" zoomScaleNormal="130" workbookViewId="0">
      <pane xSplit="2" ySplit="1" topLeftCell="W2" activePane="bottomRight" state="frozen"/>
      <selection pane="topRight" activeCell="C1" sqref="C1"/>
      <selection pane="bottomLeft" activeCell="A6" sqref="A6"/>
      <selection pane="bottomRight" activeCell="AH27" sqref="AH27"/>
    </sheetView>
  </sheetViews>
  <sheetFormatPr baseColWidth="10" defaultRowHeight="16" x14ac:dyDescent="0.2"/>
  <cols>
    <col min="1" max="1" width="13.1640625" bestFit="1" customWidth="1"/>
    <col min="2" max="2" width="10.5" bestFit="1" customWidth="1"/>
    <col min="3" max="3" width="23.83203125" bestFit="1" customWidth="1"/>
    <col min="4" max="4" width="10.5" bestFit="1" customWidth="1"/>
    <col min="5" max="5" width="10.33203125" bestFit="1" customWidth="1"/>
    <col min="6" max="6" width="12.83203125" bestFit="1" customWidth="1"/>
    <col min="7" max="7" width="21.83203125" bestFit="1" customWidth="1"/>
    <col min="8" max="8" width="10.5" bestFit="1" customWidth="1"/>
    <col min="9" max="9" width="10.33203125" bestFit="1" customWidth="1"/>
    <col min="10" max="10" width="6.6640625" bestFit="1" customWidth="1"/>
    <col min="11" max="11" width="7.83203125" bestFit="1" customWidth="1"/>
    <col min="12" max="12" width="22.33203125" bestFit="1" customWidth="1"/>
    <col min="13" max="13" width="9" bestFit="1" customWidth="1"/>
    <col min="14" max="14" width="10.33203125" bestFit="1" customWidth="1"/>
    <col min="15" max="15" width="6.6640625" bestFit="1" customWidth="1"/>
    <col min="16" max="16" width="20.33203125" bestFit="1" customWidth="1"/>
    <col min="17" max="17" width="9" bestFit="1" customWidth="1"/>
    <col min="18" max="18" width="10.33203125" bestFit="1" customWidth="1"/>
    <col min="19" max="20" width="6.6640625" customWidth="1"/>
    <col min="21" max="21" width="25.5" bestFit="1" customWidth="1"/>
    <col min="22" max="22" width="9" bestFit="1" customWidth="1"/>
    <col min="23" max="23" width="10.33203125" bestFit="1" customWidth="1"/>
    <col min="24" max="24" width="6.6640625" bestFit="1" customWidth="1"/>
    <col min="25" max="25" width="26.1640625" bestFit="1" customWidth="1"/>
    <col min="26" max="26" width="9" bestFit="1" customWidth="1"/>
    <col min="27" max="27" width="10.33203125" bestFit="1" customWidth="1"/>
    <col min="28" max="28" width="6.6640625" bestFit="1" customWidth="1"/>
    <col min="29" max="29" width="24.33203125" bestFit="1" customWidth="1"/>
    <col min="30" max="30" width="9" bestFit="1" customWidth="1"/>
    <col min="31" max="31" width="10.33203125" bestFit="1" customWidth="1"/>
    <col min="32" max="33" width="6.6640625" customWidth="1"/>
    <col min="34" max="34" width="28.83203125" bestFit="1" customWidth="1"/>
    <col min="35" max="35" width="9" bestFit="1" customWidth="1"/>
    <col min="36" max="36" width="10.33203125" bestFit="1" customWidth="1"/>
    <col min="37" max="37" width="6.6640625" bestFit="1" customWidth="1"/>
    <col min="38" max="38" width="26.6640625" bestFit="1" customWidth="1"/>
    <col min="39" max="39" width="9" bestFit="1" customWidth="1"/>
    <col min="40" max="40" width="10.33203125" bestFit="1" customWidth="1"/>
    <col min="41" max="42" width="6.6640625" customWidth="1"/>
    <col min="43" max="43" width="19.33203125" bestFit="1" customWidth="1"/>
    <col min="44" max="44" width="9" bestFit="1" customWidth="1"/>
    <col min="45" max="45" width="10.33203125" bestFit="1" customWidth="1"/>
    <col min="46" max="46" width="6.6640625" bestFit="1" customWidth="1"/>
    <col min="47" max="47" width="21.1640625" bestFit="1" customWidth="1"/>
    <col min="48" max="48" width="10.5" bestFit="1" customWidth="1"/>
    <col min="49" max="49" width="10.33203125" bestFit="1" customWidth="1"/>
    <col min="50" max="50" width="6.6640625" bestFit="1" customWidth="1"/>
    <col min="51" max="51" width="19.33203125" bestFit="1" customWidth="1"/>
    <col min="52" max="52" width="10.5" bestFit="1" customWidth="1"/>
    <col min="53" max="53" width="10.33203125" bestFit="1" customWidth="1"/>
    <col min="54" max="54" width="6.6640625" bestFit="1" customWidth="1"/>
    <col min="55" max="55" width="6.6640625" customWidth="1"/>
    <col min="56" max="56" width="22.1640625" bestFit="1" customWidth="1"/>
    <col min="57" max="57" width="9" bestFit="1" customWidth="1"/>
    <col min="58" max="58" width="10.33203125" bestFit="1" customWidth="1"/>
    <col min="59" max="59" width="6.6640625" bestFit="1" customWidth="1"/>
    <col min="60" max="60" width="20.1640625" bestFit="1" customWidth="1"/>
    <col min="61" max="61" width="9" bestFit="1" customWidth="1"/>
    <col min="62" max="62" width="10.33203125" bestFit="1" customWidth="1"/>
    <col min="63" max="63" width="6.6640625" bestFit="1" customWidth="1"/>
  </cols>
  <sheetData>
    <row r="1" spans="1:64" x14ac:dyDescent="0.2">
      <c r="C1" s="10" t="s">
        <v>83</v>
      </c>
      <c r="D1" t="s">
        <v>6</v>
      </c>
      <c r="E1" t="s">
        <v>272</v>
      </c>
      <c r="F1" t="s">
        <v>76</v>
      </c>
      <c r="G1" s="10" t="s">
        <v>83</v>
      </c>
      <c r="H1" t="s">
        <v>6</v>
      </c>
      <c r="I1" t="s">
        <v>272</v>
      </c>
      <c r="J1" t="s">
        <v>76</v>
      </c>
      <c r="K1" t="s">
        <v>318</v>
      </c>
      <c r="L1" s="10" t="s">
        <v>82</v>
      </c>
      <c r="M1" t="s">
        <v>6</v>
      </c>
      <c r="N1" t="s">
        <v>272</v>
      </c>
      <c r="O1" t="s">
        <v>76</v>
      </c>
      <c r="P1" s="10" t="s">
        <v>82</v>
      </c>
      <c r="Q1" t="s">
        <v>6</v>
      </c>
      <c r="R1" t="s">
        <v>272</v>
      </c>
      <c r="S1" t="s">
        <v>76</v>
      </c>
      <c r="T1" t="s">
        <v>318</v>
      </c>
      <c r="U1" s="10" t="s">
        <v>87</v>
      </c>
      <c r="V1" t="s">
        <v>6</v>
      </c>
      <c r="W1" t="s">
        <v>272</v>
      </c>
      <c r="X1" t="s">
        <v>76</v>
      </c>
      <c r="Y1" s="10" t="s">
        <v>263</v>
      </c>
      <c r="Z1" t="s">
        <v>6</v>
      </c>
      <c r="AA1" t="s">
        <v>272</v>
      </c>
      <c r="AB1" t="s">
        <v>76</v>
      </c>
      <c r="AC1" s="10" t="s">
        <v>263</v>
      </c>
      <c r="AD1" t="s">
        <v>6</v>
      </c>
      <c r="AE1" t="s">
        <v>272</v>
      </c>
      <c r="AF1" t="s">
        <v>76</v>
      </c>
      <c r="AG1" t="s">
        <v>318</v>
      </c>
      <c r="AH1" s="22" t="s">
        <v>74</v>
      </c>
      <c r="AI1" t="s">
        <v>6</v>
      </c>
      <c r="AJ1" t="s">
        <v>272</v>
      </c>
      <c r="AK1" t="s">
        <v>76</v>
      </c>
      <c r="AL1" s="22" t="s">
        <v>74</v>
      </c>
      <c r="AM1" t="s">
        <v>6</v>
      </c>
      <c r="AN1" t="s">
        <v>272</v>
      </c>
      <c r="AO1" t="s">
        <v>76</v>
      </c>
      <c r="AP1" t="s">
        <v>318</v>
      </c>
      <c r="AQ1" s="10" t="s">
        <v>270</v>
      </c>
      <c r="AR1" t="s">
        <v>6</v>
      </c>
      <c r="AS1" t="s">
        <v>272</v>
      </c>
      <c r="AT1" t="s">
        <v>76</v>
      </c>
      <c r="AU1" s="10" t="s">
        <v>97</v>
      </c>
      <c r="AV1" t="s">
        <v>6</v>
      </c>
      <c r="AW1" t="s">
        <v>272</v>
      </c>
      <c r="AX1" t="s">
        <v>76</v>
      </c>
      <c r="AY1" s="10" t="s">
        <v>97</v>
      </c>
      <c r="AZ1" t="s">
        <v>6</v>
      </c>
      <c r="BA1" t="s">
        <v>272</v>
      </c>
      <c r="BB1" t="s">
        <v>76</v>
      </c>
      <c r="BC1" t="s">
        <v>318</v>
      </c>
      <c r="BD1" s="10" t="s">
        <v>98</v>
      </c>
      <c r="BE1" t="s">
        <v>6</v>
      </c>
      <c r="BF1" t="s">
        <v>272</v>
      </c>
      <c r="BG1" t="s">
        <v>76</v>
      </c>
      <c r="BH1" s="10" t="s">
        <v>98</v>
      </c>
      <c r="BI1" t="s">
        <v>6</v>
      </c>
      <c r="BJ1" t="s">
        <v>272</v>
      </c>
      <c r="BK1" t="s">
        <v>76</v>
      </c>
      <c r="BL1" t="s">
        <v>318</v>
      </c>
    </row>
    <row r="2" spans="1:64" x14ac:dyDescent="0.2">
      <c r="A2" t="s">
        <v>273</v>
      </c>
      <c r="B2" s="12">
        <v>125525</v>
      </c>
      <c r="C2" t="str">
        <f>_xlfn.CONCAT(C$1," ",$A2," PUNC")</f>
        <v>more recently.[r*] PUNC</v>
      </c>
      <c r="D2" s="12">
        <v>4090</v>
      </c>
      <c r="E2" s="12" t="s">
        <v>271</v>
      </c>
      <c r="F2" s="13">
        <f>IF(D2=0,-1,LOG((D2/1002889754) / (($B2/1002889754) * (D$8/1002889754)), 2) / -LOG(D2/1002889754, 2))</f>
        <v>0.21428686897790727</v>
      </c>
      <c r="G2" t="str">
        <f>_xlfn.CONCAT(G$1," ",$A2," [i*]")</f>
        <v>more recently.[r*] [i*]</v>
      </c>
      <c r="H2" s="12">
        <f>378-I2</f>
        <v>374</v>
      </c>
      <c r="I2" s="12">
        <v>4</v>
      </c>
      <c r="J2" s="13">
        <f>IF(H2=0,-1,LOG((H2/1002889754) / (($B2/1002889754) * (H$8/1002889754)), 2) / -LOG(H2/1002889754, 2))</f>
        <v>1.8053343153596565E-2</v>
      </c>
      <c r="K2" s="13">
        <f>AVERAGE(J2,F2)</f>
        <v>0.11617010606575193</v>
      </c>
      <c r="L2" t="str">
        <f>_xlfn.CONCAT(L$1," ",$A2," PUNC")</f>
        <v>less recently.[r*] PUNC</v>
      </c>
      <c r="M2" s="12">
        <v>3</v>
      </c>
      <c r="N2" s="12"/>
      <c r="O2" s="13">
        <f>IF(M2=0,-1,LOG((M2/1002889754) / (($B2/1002889754) * (M$8/1002889754)), 2) / -LOG(M2/1002889754, 2))</f>
        <v>-0.13502748718861313</v>
      </c>
      <c r="P2" t="str">
        <f>_xlfn.CONCAT(P$1," ",$A2," [i*]")</f>
        <v>less recently.[r*] [i*]</v>
      </c>
      <c r="Q2" s="12">
        <v>0</v>
      </c>
      <c r="R2" s="12"/>
      <c r="S2" s="13">
        <f>IF(Q2=0,-1,LOG((Q2/1002889754) / (($B2/1002889754) * (Q$8/1002889754)), 2) / -LOG(Q2/1002889754, 2))</f>
        <v>-1</v>
      </c>
      <c r="T2" s="13">
        <f>AVERAGE(S2,O2)</f>
        <v>-0.56751374359430651</v>
      </c>
      <c r="U2" t="str">
        <f t="shared" ref="U2:U7" si="0">_xlfn.CONCAT($A2," ",U$1," PUNC")</f>
        <v>recently.[r*] enough PUNC</v>
      </c>
      <c r="V2" s="12">
        <v>5</v>
      </c>
      <c r="W2" s="12"/>
      <c r="X2" s="13">
        <f>IF(V2=0,-1,LOG((V2/1002889754) / (($B2/1002889754) * (V$8/1002889754)), 2) / -LOG(V2/1002889754, 2))</f>
        <v>-0.12004786273307197</v>
      </c>
      <c r="Y2" t="str">
        <f>_xlfn.CONCAT(Y$1," ",$A2," PUNC")</f>
        <v>that.[r*] recently.[r*] PUNC</v>
      </c>
      <c r="Z2" s="12">
        <v>5</v>
      </c>
      <c r="AA2" s="12">
        <v>3</v>
      </c>
      <c r="AB2" s="13">
        <f>IF(Z2=0,-1,LOG((Z2/1002889754) / (($B2/1002889754) * (Z$8/1002889754)), 2) / -LOG(Z2/1002889754, 2))</f>
        <v>-5.435448926717594E-2</v>
      </c>
      <c r="AC2" t="str">
        <f>_xlfn.CONCAT(AC$1," ",$A2," [i*]")</f>
        <v>that.[r*] recently.[r*] [i*]</v>
      </c>
      <c r="AD2" s="12">
        <v>0</v>
      </c>
      <c r="AE2" s="12"/>
      <c r="AF2" s="13">
        <f>IF(AD2=0,-1,LOG((AD2/1002889754) / (($B2/1002889754) * (AD$8/1002889754)), 2) / -LOG(AD2/1002889754, 2))</f>
        <v>-1</v>
      </c>
      <c r="AG2" s="13">
        <f>AVERAGE(AF2,AB2)</f>
        <v>-0.52717724463358795</v>
      </c>
      <c r="AH2" t="str">
        <f>_xlfn.CONCAT(AH$1," ",$A2," PUNC")</f>
        <v>-very much recently.[r*] PUNC</v>
      </c>
      <c r="AI2" s="12">
        <v>35</v>
      </c>
      <c r="AJ2" s="12">
        <v>0</v>
      </c>
      <c r="AK2" s="13">
        <f>IF(AI2=0,-1,LOG((AI2/1002889754) / (($B2/1002889754) * (AI$8/1002889754)), 2) / -LOG(AI2/1002889754, 2))</f>
        <v>-6.7525912815837252E-2</v>
      </c>
      <c r="AL2" t="str">
        <f>_xlfn.CONCAT(AL$1," ",$A2," [i*]")</f>
        <v>-very much recently.[r*] [i*]</v>
      </c>
      <c r="AM2" s="12">
        <v>2</v>
      </c>
      <c r="AN2" s="12">
        <v>1</v>
      </c>
      <c r="AO2" s="13">
        <f>IF(AM2=0,-1,LOG((AM2/1002889754) / (($B2/1002889754) * (AM$8/1002889754)), 2) / -LOG(AM2/1002889754, 2))</f>
        <v>-0.20075246842369965</v>
      </c>
      <c r="AP2" s="13">
        <f t="shared" ref="AP2:AP6" si="1">AVERAGE(AO2,AK2)</f>
        <v>-0.13413919061976845</v>
      </c>
      <c r="AQ2" t="str">
        <f>_xlfn.CONCAT(AQ$1," ",$A2)</f>
        <v>a little recently.[r*]</v>
      </c>
      <c r="AR2" s="12">
        <v>0</v>
      </c>
      <c r="AS2" s="12">
        <v>4</v>
      </c>
      <c r="AT2" s="13">
        <f>IF(AR2=0,-1,LOG((AR2/1002889754) / (($B2/1002889754) * (AR$8/1002889754)), 2) / -LOG(AR2/1002889754, 2))</f>
        <v>-1</v>
      </c>
      <c r="AU2" t="str">
        <f t="shared" ref="AU2:AU7" si="2">_xlfn.CONCAT(AU$1," ",$A2," PUNC")</f>
        <v>no recently.[r*] PUNC</v>
      </c>
      <c r="AV2" s="12">
        <v>0</v>
      </c>
      <c r="AW2" s="12">
        <v>8</v>
      </c>
      <c r="AX2" s="13">
        <f>IF(AV2=0,-1,LOG((AV2/1002889754) / (($B2/1002889754) * (AV$8/1002889754)), 2) / -LOG(AV2/1002889754, 2))</f>
        <v>-1</v>
      </c>
      <c r="AY2" t="str">
        <f>_xlfn.CONCAT(AY$1," ",$A2," [i*]")</f>
        <v>no recently.[r*] [i*]</v>
      </c>
      <c r="AZ2" s="12">
        <v>0</v>
      </c>
      <c r="BA2" s="12"/>
      <c r="BB2" s="13">
        <f>IF(AZ2=0,-1,LOG((AZ2/1002889754) / (($B2/1002889754) * (AZ$8/1002889754)), 2) / -LOG(AZ2/1002889754, 2))</f>
        <v>-1</v>
      </c>
      <c r="BC2" s="13">
        <f>AVERAGE(BB2,AX2)</f>
        <v>-1</v>
      </c>
      <c r="BD2" t="str">
        <f t="shared" ref="BD2:BD7" si="3">_xlfn.CONCAT(BD$1," ",$A2," PUNC")</f>
        <v>any recently.[r*] PUNC</v>
      </c>
      <c r="BE2" s="12">
        <v>0</v>
      </c>
      <c r="BF2" s="12">
        <v>13</v>
      </c>
      <c r="BG2" s="13">
        <f>IF(BE2=0,-1,LOG((BE2/1002889754) / (($B2/1002889754) * (BE$8/1002889754)), 2) / -LOG(BE2/1002889754, 2))</f>
        <v>-1</v>
      </c>
      <c r="BH2" t="str">
        <f>_xlfn.CONCAT(BH$1," ",$A2," [i*]")</f>
        <v>any recently.[r*] [i*]</v>
      </c>
      <c r="BI2" s="12">
        <v>0</v>
      </c>
      <c r="BJ2" s="12"/>
      <c r="BK2" s="13">
        <f>IF(BI2=0,-1,LOG((BI2/1002889754) / (($B2/1002889754) * (BI$8/1002889754)), 2) / -LOG(BI2/1002889754, 2))</f>
        <v>-1</v>
      </c>
      <c r="BL2" s="13">
        <f>AVERAGE(BK2,BG2)</f>
        <v>-1</v>
      </c>
    </row>
    <row r="3" spans="1:64" x14ac:dyDescent="0.2">
      <c r="A3" t="s">
        <v>274</v>
      </c>
      <c r="B3" s="12">
        <v>61533</v>
      </c>
      <c r="C3" t="str">
        <f>_xlfn.CONCAT(C$1," ",$A3," PUNC")</f>
        <v>more fast.[r*] PUNC</v>
      </c>
      <c r="D3" s="12">
        <v>4</v>
      </c>
      <c r="E3" s="12">
        <v>2</v>
      </c>
      <c r="F3" s="13">
        <f t="shared" ref="F3:F7" si="4">IF(D3=0,-1,LOG((D3/1002889754) / (($B3/1002889754) * (D$8/1002889754)), 2) / -LOG(D3/1002889754, 2))</f>
        <v>-0.18396239424509175</v>
      </c>
      <c r="G3" t="str">
        <f t="shared" ref="G3:G6" si="5">_xlfn.CONCAT(G$1," ",$A3," [i*]")</f>
        <v>more fast.[r*] [i*]</v>
      </c>
      <c r="H3" s="12"/>
      <c r="I3" s="12"/>
      <c r="J3" s="13">
        <f t="shared" ref="J3:J6" si="6">IF(H3=0,-1,LOG((H3/1002889754) / (($B3/1002889754) * (H$8/1002889754)), 2) / -LOG(H3/1002889754, 2))</f>
        <v>-1</v>
      </c>
      <c r="K3" s="13">
        <f t="shared" ref="K3:K6" si="7">AVERAGE(J3,F3)</f>
        <v>-0.59198119712254593</v>
      </c>
      <c r="L3" t="str">
        <f>_xlfn.CONCAT(L$1," ",$A3," PUNC")</f>
        <v>less fast.[r*] PUNC</v>
      </c>
      <c r="M3" s="12">
        <v>3</v>
      </c>
      <c r="N3" s="12"/>
      <c r="O3" s="13">
        <f t="shared" ref="O3:O7" si="8">IF(M3=0,-1,LOG((M3/1002889754) / (($B3/1002889754) * (M$8/1002889754)), 2) / -LOG(M3/1002889754, 2))</f>
        <v>-9.8704475895626503E-2</v>
      </c>
      <c r="P3" t="str">
        <f t="shared" ref="P3:P6" si="9">_xlfn.CONCAT(P$1," ",$A3," [i*]")</f>
        <v>less fast.[r*] [i*]</v>
      </c>
      <c r="Q3" s="12">
        <v>0</v>
      </c>
      <c r="R3" s="12"/>
      <c r="S3" s="13">
        <f t="shared" ref="S3:S6" si="10">IF(Q3=0,-1,LOG((Q3/1002889754) / (($B3/1002889754) * (Q$8/1002889754)), 2) / -LOG(Q3/1002889754, 2))</f>
        <v>-1</v>
      </c>
      <c r="T3" s="13">
        <f t="shared" ref="T3:T6" si="11">AVERAGE(S3,O3)</f>
        <v>-0.54935223794781329</v>
      </c>
      <c r="U3" t="str">
        <f t="shared" si="0"/>
        <v>fast.[r*] enough PUNC</v>
      </c>
      <c r="V3" s="12">
        <v>1750</v>
      </c>
      <c r="W3" s="12" t="s">
        <v>271</v>
      </c>
      <c r="X3" s="13">
        <f t="shared" ref="X3:X7" si="12">IF(V3=0,-1,LOG((V3/1002889754) / (($B3/1002889754) * (V$8/1002889754)), 2) / -LOG(V3/1002889754, 2))</f>
        <v>0.3224990357782373</v>
      </c>
      <c r="Y3" t="str">
        <f>_xlfn.CONCAT(Y$1," ",$A3," PUNC")</f>
        <v>that.[r*] fast.[r*] PUNC</v>
      </c>
      <c r="Z3" s="12">
        <v>91</v>
      </c>
      <c r="AA3" s="12" t="s">
        <v>271</v>
      </c>
      <c r="AB3" s="13">
        <f t="shared" ref="AB3:AB7" si="13">IF(Z3=0,-1,LOG((Z3/1002889754) / (($B3/1002889754) * (Z$8/1002889754)), 2) / -LOG(Z3/1002889754, 2))</f>
        <v>0.15881759844539112</v>
      </c>
      <c r="AC3" t="str">
        <f t="shared" ref="AC3:AC6" si="14">_xlfn.CONCAT(AC$1," ",$A3," [i*]")</f>
        <v>that.[r*] fast.[r*] [i*]</v>
      </c>
      <c r="AD3" s="12">
        <v>2</v>
      </c>
      <c r="AE3" s="12"/>
      <c r="AF3" s="13">
        <f t="shared" ref="AF3:AF6" si="15">IF(AD3=0,-1,LOG((AD3/1002889754) / (($B3/1002889754) * (AD$8/1002889754)), 2) / -LOG(AD3/1002889754, 2))</f>
        <v>-6.2019584806856952E-2</v>
      </c>
      <c r="AG3" s="13">
        <f t="shared" ref="AG3:AG6" si="16">AVERAGE(AF3,AB3)</f>
        <v>4.8399006819267079E-2</v>
      </c>
      <c r="AH3" t="str">
        <f>_xlfn.CONCAT(AH$1," ",$A3," PUNC")</f>
        <v>-very much fast.[r*] PUNC</v>
      </c>
      <c r="AI3" s="12">
        <v>0</v>
      </c>
      <c r="AJ3" s="12"/>
      <c r="AK3" s="13">
        <f t="shared" ref="AK3:AK7" si="17">IF(AI3=0,-1,LOG((AI3/1002889754) / (($B3/1002889754) * (AI$8/1002889754)), 2) / -LOG(AI3/1002889754, 2))</f>
        <v>-1</v>
      </c>
      <c r="AL3" t="str">
        <f t="shared" ref="AL3:AL6" si="18">_xlfn.CONCAT(AL$1," ",$A3," [i*]")</f>
        <v>-very much fast.[r*] [i*]</v>
      </c>
      <c r="AM3" s="12">
        <v>0</v>
      </c>
      <c r="AN3" s="12">
        <v>1</v>
      </c>
      <c r="AO3" s="13">
        <f t="shared" ref="AO3:AO6" si="19">IF(AM3=0,-1,LOG((AM3/1002889754) / (($B3/1002889754) * (AM$8/1002889754)), 2) / -LOG(AM3/1002889754, 2))</f>
        <v>-1</v>
      </c>
      <c r="AP3" s="13">
        <f t="shared" si="1"/>
        <v>-1</v>
      </c>
      <c r="AQ3" t="str">
        <f t="shared" ref="AQ3:AQ7" si="20">_xlfn.CONCAT(AQ$1," ",$A3)</f>
        <v>a little fast.[r*]</v>
      </c>
      <c r="AR3" s="12">
        <v>9</v>
      </c>
      <c r="AS3" s="12">
        <v>2</v>
      </c>
      <c r="AT3" s="13">
        <f t="shared" ref="AT3:AT7" si="21">IF(AR3=0,-1,LOG((AR3/1002889754) / (($B3/1002889754) * (AR$8/1002889754)), 2) / -LOG(AR3/1002889754, 2))</f>
        <v>-1.5860929111812753E-2</v>
      </c>
      <c r="AU3" t="str">
        <f t="shared" si="2"/>
        <v>no fast.[r*] PUNC</v>
      </c>
      <c r="AV3" s="12">
        <v>0</v>
      </c>
      <c r="AW3" s="12">
        <v>1</v>
      </c>
      <c r="AX3" s="13">
        <f t="shared" ref="AX3:AX7" si="22">IF(AV3=0,-1,LOG((AV3/1002889754) / (($B3/1002889754) * (AV$8/1002889754)), 2) / -LOG(AV3/1002889754, 2))</f>
        <v>-1</v>
      </c>
      <c r="AY3" t="str">
        <f t="shared" ref="AY3:AY6" si="23">_xlfn.CONCAT(AY$1," ",$A3," [i*]")</f>
        <v>no fast.[r*] [i*]</v>
      </c>
      <c r="AZ3" s="12">
        <v>0</v>
      </c>
      <c r="BA3" s="12"/>
      <c r="BB3" s="13">
        <f t="shared" ref="BB3:BB6" si="24">IF(AZ3=0,-1,LOG((AZ3/1002889754) / (($B3/1002889754) * (AZ$8/1002889754)), 2) / -LOG(AZ3/1002889754, 2))</f>
        <v>-1</v>
      </c>
      <c r="BC3" s="13">
        <f t="shared" ref="BC3:BC6" si="25">AVERAGE(BB3,AX3)</f>
        <v>-1</v>
      </c>
      <c r="BD3" t="str">
        <f t="shared" si="3"/>
        <v>any fast.[r*] PUNC</v>
      </c>
      <c r="BE3" s="12">
        <v>0</v>
      </c>
      <c r="BF3" s="12"/>
      <c r="BG3" s="13">
        <f t="shared" ref="BG3:BG7" si="26">IF(BE3=0,-1,LOG((BE3/1002889754) / (($B3/1002889754) * (BE$8/1002889754)), 2) / -LOG(BE3/1002889754, 2))</f>
        <v>-1</v>
      </c>
      <c r="BH3" t="str">
        <f t="shared" ref="BH3:BH6" si="27">_xlfn.CONCAT(BH$1," ",$A3," [i*]")</f>
        <v>any fast.[r*] [i*]</v>
      </c>
      <c r="BI3" s="12">
        <v>0</v>
      </c>
      <c r="BJ3" s="12"/>
      <c r="BK3" s="13">
        <f t="shared" ref="BK3:BK6" si="28">IF(BI3=0,-1,LOG((BI3/1002889754) / (($B3/1002889754) * (BI$8/1002889754)), 2) / -LOG(BI3/1002889754, 2))</f>
        <v>-1</v>
      </c>
      <c r="BL3" s="13">
        <f t="shared" ref="BL3:BL6" si="29">AVERAGE(BK3,BG3)</f>
        <v>-1</v>
      </c>
    </row>
    <row r="4" spans="1:64" x14ac:dyDescent="0.2">
      <c r="A4" t="s">
        <v>325</v>
      </c>
      <c r="B4" s="12">
        <v>1386424</v>
      </c>
      <c r="C4" t="str">
        <f>_xlfn.CONCAT(C$1," ",$A4," PUNC")</f>
        <v>more *.[rrr*] PUNC</v>
      </c>
      <c r="D4" s="12">
        <f>0.05*373</f>
        <v>18.650000000000002</v>
      </c>
      <c r="E4" s="12">
        <f>373-D4</f>
        <v>354.35</v>
      </c>
      <c r="F4" s="13">
        <f t="shared" si="4"/>
        <v>-0.28837505748223169</v>
      </c>
      <c r="G4" t="str">
        <f t="shared" si="5"/>
        <v>more *.[rrr*] [i*]</v>
      </c>
      <c r="H4" s="12">
        <v>4</v>
      </c>
      <c r="I4" s="12">
        <v>96</v>
      </c>
      <c r="J4" s="13">
        <f t="shared" si="6"/>
        <v>-0.34502405167805278</v>
      </c>
      <c r="K4" s="13">
        <f t="shared" si="7"/>
        <v>-0.31669955458014221</v>
      </c>
      <c r="L4" t="str">
        <f>_xlfn.CONCAT(L$1," ",$A4," PUNC")</f>
        <v>less *.[rrr*] PUNC</v>
      </c>
      <c r="M4" s="12">
        <v>1</v>
      </c>
      <c r="N4" s="12">
        <v>15</v>
      </c>
      <c r="O4" s="13">
        <f t="shared" si="8"/>
        <v>-0.2967674779263218</v>
      </c>
      <c r="P4" t="str">
        <f t="shared" si="9"/>
        <v>less *.[rrr*] [i*]</v>
      </c>
      <c r="Q4" s="12">
        <v>0</v>
      </c>
      <c r="R4" s="12">
        <v>2</v>
      </c>
      <c r="S4" s="13">
        <f t="shared" si="10"/>
        <v>-1</v>
      </c>
      <c r="T4" s="13">
        <f t="shared" si="11"/>
        <v>-0.64838373896316093</v>
      </c>
      <c r="U4" t="str">
        <f t="shared" si="0"/>
        <v>*.[rrr*] enough PUNC</v>
      </c>
      <c r="V4" s="12">
        <v>2</v>
      </c>
      <c r="W4" s="12">
        <v>7</v>
      </c>
      <c r="X4" s="13">
        <f t="shared" si="12"/>
        <v>-0.2801970872974261</v>
      </c>
      <c r="Y4" t="str">
        <f>_xlfn.CONCAT(Y$1," ",$A4," PUNC")</f>
        <v>that.[r*] *.[rrr*] PUNC</v>
      </c>
      <c r="Z4" s="12">
        <v>0</v>
      </c>
      <c r="AA4" s="12"/>
      <c r="AB4" s="13">
        <f t="shared" si="13"/>
        <v>-1</v>
      </c>
      <c r="AC4" t="str">
        <f t="shared" si="14"/>
        <v>that.[r*] *.[rrr*] [i*]</v>
      </c>
      <c r="AD4" s="12">
        <v>0</v>
      </c>
      <c r="AE4" s="12">
        <v>1</v>
      </c>
      <c r="AF4" s="13">
        <f t="shared" si="15"/>
        <v>-1</v>
      </c>
      <c r="AG4" s="13">
        <f t="shared" si="16"/>
        <v>-1</v>
      </c>
      <c r="AH4" t="str">
        <f>_xlfn.CONCAT(AH$1," ",$A4," PUNC")</f>
        <v>-very much *.[rrr*] PUNC</v>
      </c>
      <c r="AI4" s="12">
        <f>0.84*11059-2813-199-372</f>
        <v>5905.5599999999995</v>
      </c>
      <c r="AJ4" s="12">
        <f>11059-AI4</f>
        <v>5153.4400000000005</v>
      </c>
      <c r="AK4" s="13">
        <f t="shared" si="17"/>
        <v>0.1301099420190413</v>
      </c>
      <c r="AL4" t="str">
        <f t="shared" si="18"/>
        <v>-very much *.[rrr*] [i*]</v>
      </c>
      <c r="AM4" s="12">
        <f>0.63*3377-502-163-205</f>
        <v>1257.5100000000002</v>
      </c>
      <c r="AN4" s="12">
        <f>3377-AM4</f>
        <v>2119.4899999999998</v>
      </c>
      <c r="AO4" s="13">
        <f t="shared" si="19"/>
        <v>1.478263774385024E-3</v>
      </c>
      <c r="AP4" s="13">
        <f t="shared" si="1"/>
        <v>6.5794102896713169E-2</v>
      </c>
      <c r="AQ4" t="str">
        <f t="shared" si="20"/>
        <v>a little *.[rrr*]</v>
      </c>
      <c r="AR4" s="12">
        <f>18014*0.82-0.98*5459-0.83*696-1041</f>
        <v>7802.98</v>
      </c>
      <c r="AS4" s="12">
        <f>18014-AR4</f>
        <v>10211.02</v>
      </c>
      <c r="AT4" s="13">
        <f t="shared" si="21"/>
        <v>0.28530025884269</v>
      </c>
      <c r="AU4" t="str">
        <f>_xlfn.CONCAT(AU$1," ",$A4," PUNC")</f>
        <v>no *.[rrr*] PUNC</v>
      </c>
      <c r="AV4" s="12">
        <f>11+30+15+1+12+4+4+1+2+2+3+1+2+2</f>
        <v>90</v>
      </c>
      <c r="AW4" s="12">
        <f>10955-AV4</f>
        <v>10865</v>
      </c>
      <c r="AX4" s="13">
        <f t="shared" si="22"/>
        <v>-0.17989251228039688</v>
      </c>
      <c r="AY4" t="str">
        <f t="shared" si="23"/>
        <v>no *.[rrr*] [i*]</v>
      </c>
      <c r="AZ4" s="12">
        <f>268*0.91-60-11-18-67+1151*0.19</f>
        <v>306.57</v>
      </c>
      <c r="BA4" s="12">
        <f>268-AZ4</f>
        <v>-38.569999999999993</v>
      </c>
      <c r="BB4" s="13">
        <f t="shared" si="24"/>
        <v>-0.11288542133452739</v>
      </c>
      <c r="BC4" s="13">
        <f t="shared" si="25"/>
        <v>-0.14638896680746213</v>
      </c>
      <c r="BD4" t="str">
        <f>_xlfn.CONCAT(BD$1," ",$A4," PUNC")</f>
        <v>any *.[rrr*] PUNC</v>
      </c>
      <c r="BE4" s="12">
        <f>1056*0.98-501-5-453-3+0.23*8562</f>
        <v>2042.1399999999999</v>
      </c>
      <c r="BF4" s="12">
        <f>1056-BE4</f>
        <v>-986.13999999999987</v>
      </c>
      <c r="BG4" s="13">
        <f t="shared" si="26"/>
        <v>2.9960102262535832E-2</v>
      </c>
      <c r="BH4" t="str">
        <f t="shared" si="27"/>
        <v>any *.[rrr*] [i*]</v>
      </c>
      <c r="BI4" s="12">
        <f>121*0.97-12-44-51+1892*0.14</f>
        <v>275.25000000000006</v>
      </c>
      <c r="BJ4" s="12">
        <f>121-BI4</f>
        <v>-154.25000000000006</v>
      </c>
      <c r="BK4" s="13">
        <f t="shared" si="28"/>
        <v>-0.10665967533729707</v>
      </c>
      <c r="BL4" s="13">
        <f t="shared" si="29"/>
        <v>-3.8349786537380623E-2</v>
      </c>
    </row>
    <row r="5" spans="1:64" x14ac:dyDescent="0.2">
      <c r="A5" t="s">
        <v>275</v>
      </c>
      <c r="B5" s="12">
        <v>24323</v>
      </c>
      <c r="C5" t="str">
        <f>_xlfn.CONCAT(C$1," ",$A5," PUNC")</f>
        <v>more differently.[r*] PUNC</v>
      </c>
      <c r="D5" s="12">
        <v>7</v>
      </c>
      <c r="E5" s="12"/>
      <c r="F5" s="13">
        <f t="shared" si="4"/>
        <v>-0.11022432459002328</v>
      </c>
      <c r="G5" t="str">
        <f t="shared" si="5"/>
        <v>more differently.[r*] [i*]</v>
      </c>
      <c r="H5" s="12">
        <v>2</v>
      </c>
      <c r="I5" s="12"/>
      <c r="J5" s="13">
        <f t="shared" si="6"/>
        <v>-0.16586640417511408</v>
      </c>
      <c r="K5" s="13">
        <f t="shared" si="7"/>
        <v>-0.13804536438256867</v>
      </c>
      <c r="L5" t="str">
        <f>_xlfn.CONCAT(L$1," ",$A5," PUNC")</f>
        <v>less differently.[r*] PUNC</v>
      </c>
      <c r="M5" s="12">
        <v>0</v>
      </c>
      <c r="N5" s="12"/>
      <c r="O5" s="13">
        <f t="shared" si="8"/>
        <v>-1</v>
      </c>
      <c r="P5" t="str">
        <f t="shared" si="9"/>
        <v>less differently.[r*] [i*]</v>
      </c>
      <c r="Q5" s="12">
        <v>0</v>
      </c>
      <c r="R5" s="12"/>
      <c r="S5" s="13">
        <f t="shared" si="10"/>
        <v>-1</v>
      </c>
      <c r="T5" s="13">
        <f t="shared" si="11"/>
        <v>-1</v>
      </c>
      <c r="U5" t="str">
        <f t="shared" si="0"/>
        <v>differently.[r*] enough PUNC</v>
      </c>
      <c r="V5" s="12">
        <v>0</v>
      </c>
      <c r="W5" s="12"/>
      <c r="X5" s="13">
        <f t="shared" si="12"/>
        <v>-1</v>
      </c>
      <c r="Y5" t="str">
        <f>_xlfn.CONCAT(Y$1," ",$A5," PUNC")</f>
        <v>that.[r*] differently.[r*] PUNC</v>
      </c>
      <c r="Z5" s="12">
        <v>1</v>
      </c>
      <c r="AA5" s="12"/>
      <c r="AB5" s="13">
        <f t="shared" si="13"/>
        <v>-4.8606929190251627E-2</v>
      </c>
      <c r="AC5" t="str">
        <f t="shared" si="14"/>
        <v>that.[r*] differently.[r*] [i*]</v>
      </c>
      <c r="AD5" s="12">
        <v>0</v>
      </c>
      <c r="AE5" s="12"/>
      <c r="AF5" s="13">
        <f t="shared" si="15"/>
        <v>-1</v>
      </c>
      <c r="AG5" s="13">
        <f t="shared" si="16"/>
        <v>-0.52430346459512578</v>
      </c>
      <c r="AH5" t="str">
        <f>_xlfn.CONCAT(AH$1," ",$A5," PUNC")</f>
        <v>-very much differently.[r*] PUNC</v>
      </c>
      <c r="AI5" s="12">
        <v>79</v>
      </c>
      <c r="AJ5" s="12" t="s">
        <v>271</v>
      </c>
      <c r="AK5" s="13">
        <f t="shared" si="17"/>
        <v>7.9215726548893112E-2</v>
      </c>
      <c r="AL5" t="str">
        <f t="shared" si="18"/>
        <v>-very much differently.[r*] [i*]</v>
      </c>
      <c r="AM5" s="12">
        <v>21</v>
      </c>
      <c r="AN5" s="12">
        <v>1</v>
      </c>
      <c r="AO5" s="13">
        <f t="shared" si="19"/>
        <v>-1.652407559961519E-3</v>
      </c>
      <c r="AP5" s="13">
        <f t="shared" si="1"/>
        <v>3.8781659494465798E-2</v>
      </c>
      <c r="AQ5" t="str">
        <f t="shared" si="20"/>
        <v>a little differently.[r*]</v>
      </c>
      <c r="AR5" s="12">
        <v>587</v>
      </c>
      <c r="AS5" s="12" t="s">
        <v>271</v>
      </c>
      <c r="AT5" s="13">
        <f t="shared" si="21"/>
        <v>0.33530924725471456</v>
      </c>
      <c r="AU5" t="str">
        <f t="shared" si="2"/>
        <v>no differently.[r*] PUNC</v>
      </c>
      <c r="AV5" s="12">
        <v>17</v>
      </c>
      <c r="AW5" s="12"/>
      <c r="AX5" s="13">
        <f t="shared" si="22"/>
        <v>-3.0321072060038989E-2</v>
      </c>
      <c r="AY5" t="str">
        <f t="shared" si="23"/>
        <v>no differently.[r*] [i*]</v>
      </c>
      <c r="AZ5" s="12">
        <v>36</v>
      </c>
      <c r="BA5" s="12"/>
      <c r="BB5" s="13">
        <f t="shared" si="24"/>
        <v>1.212022305808976E-2</v>
      </c>
      <c r="BC5" s="13">
        <f t="shared" si="25"/>
        <v>-9.1004245009746153E-3</v>
      </c>
      <c r="BD5" t="str">
        <f t="shared" si="3"/>
        <v>any differently.[r*] PUNC</v>
      </c>
      <c r="BE5" s="12">
        <v>230</v>
      </c>
      <c r="BF5" s="12"/>
      <c r="BG5" s="13">
        <f t="shared" si="26"/>
        <v>0.1473040864878685</v>
      </c>
      <c r="BH5" t="str">
        <f t="shared" si="27"/>
        <v>any differently.[r*] [i*]</v>
      </c>
      <c r="BI5" s="12">
        <v>78</v>
      </c>
      <c r="BJ5" s="12"/>
      <c r="BK5" s="13">
        <f t="shared" si="28"/>
        <v>7.1512820784931375E-2</v>
      </c>
      <c r="BL5" s="13">
        <f t="shared" si="29"/>
        <v>0.10940845363639994</v>
      </c>
    </row>
    <row r="6" spans="1:64" x14ac:dyDescent="0.2">
      <c r="A6" t="s">
        <v>276</v>
      </c>
      <c r="B6" s="12">
        <v>30974</v>
      </c>
      <c r="C6" t="str">
        <f>_xlfn.CONCAT(C$1," ",$A6," PUNC")</f>
        <v>more equally.[r*] PUNC</v>
      </c>
      <c r="D6" s="12">
        <v>17</v>
      </c>
      <c r="E6" s="12"/>
      <c r="F6" s="13">
        <f t="shared" si="4"/>
        <v>-7.9610287976881466E-2</v>
      </c>
      <c r="G6" t="str">
        <f t="shared" si="5"/>
        <v>more equally.[r*] [i*]</v>
      </c>
      <c r="H6" s="12">
        <v>19</v>
      </c>
      <c r="I6" s="12"/>
      <c r="J6" s="13">
        <f t="shared" si="6"/>
        <v>-7.3853197337360954E-2</v>
      </c>
      <c r="K6" s="13">
        <f t="shared" si="7"/>
        <v>-7.673174265712121E-2</v>
      </c>
      <c r="L6" t="str">
        <f>_xlfn.CONCAT(L$1," ",$A6," PUNC")</f>
        <v>less equally.[r*] PUNC</v>
      </c>
      <c r="M6" s="12">
        <v>1</v>
      </c>
      <c r="N6" s="12">
        <v>9</v>
      </c>
      <c r="O6" s="13">
        <f t="shared" si="8"/>
        <v>-0.11335981923073188</v>
      </c>
      <c r="P6" t="str">
        <f t="shared" si="9"/>
        <v>less equally.[r*] [i*]</v>
      </c>
      <c r="Q6" s="12">
        <v>0</v>
      </c>
      <c r="R6" s="12">
        <v>10</v>
      </c>
      <c r="S6" s="13">
        <f t="shared" si="10"/>
        <v>-1</v>
      </c>
      <c r="T6" s="13">
        <f t="shared" si="11"/>
        <v>-0.55667990961536595</v>
      </c>
      <c r="U6" t="str">
        <f t="shared" si="0"/>
        <v>equally.[r*] enough PUNC</v>
      </c>
      <c r="V6" s="12">
        <v>0</v>
      </c>
      <c r="W6" s="12"/>
      <c r="X6" s="13">
        <f t="shared" si="12"/>
        <v>-1</v>
      </c>
      <c r="Y6" t="str">
        <f>_xlfn.CONCAT(Y$1," ",$A6," PUNC")</f>
        <v>that.[r*] equally.[r*] PUNC</v>
      </c>
      <c r="Z6" s="12">
        <v>0</v>
      </c>
      <c r="AA6" s="12"/>
      <c r="AB6" s="13">
        <f t="shared" si="13"/>
        <v>-1</v>
      </c>
      <c r="AC6" t="str">
        <f t="shared" si="14"/>
        <v>that.[r*] equally.[r*] [i*]</v>
      </c>
      <c r="AD6" s="12">
        <v>0</v>
      </c>
      <c r="AE6" s="12"/>
      <c r="AF6" s="13">
        <f t="shared" si="15"/>
        <v>-1</v>
      </c>
      <c r="AG6" s="13">
        <f t="shared" si="16"/>
        <v>-1</v>
      </c>
      <c r="AH6" t="str">
        <f>_xlfn.CONCAT(AH$1," ",$A6," PUNC")</f>
        <v>-very much equally.[r*] PUNC</v>
      </c>
      <c r="AI6" s="12">
        <v>0</v>
      </c>
      <c r="AJ6" s="12">
        <v>2</v>
      </c>
      <c r="AK6" s="13">
        <f t="shared" si="17"/>
        <v>-1</v>
      </c>
      <c r="AL6" t="str">
        <f t="shared" si="18"/>
        <v>-very much equally.[r*] [i*]</v>
      </c>
      <c r="AM6" s="12">
        <v>0</v>
      </c>
      <c r="AN6" s="12"/>
      <c r="AO6" s="13">
        <f t="shared" si="19"/>
        <v>-1</v>
      </c>
      <c r="AP6" s="13">
        <f t="shared" si="1"/>
        <v>-1</v>
      </c>
      <c r="AQ6" t="str">
        <f t="shared" si="20"/>
        <v>a little equally.[r*]</v>
      </c>
      <c r="AR6" s="12">
        <v>0</v>
      </c>
      <c r="AS6" s="12"/>
      <c r="AT6" s="13">
        <f t="shared" si="21"/>
        <v>-1</v>
      </c>
      <c r="AU6" t="str">
        <f t="shared" si="2"/>
        <v>no equally.[r*] PUNC</v>
      </c>
      <c r="AV6" s="12">
        <v>0</v>
      </c>
      <c r="AW6" s="12"/>
      <c r="AX6" s="13">
        <f t="shared" si="22"/>
        <v>-1</v>
      </c>
      <c r="AY6" t="str">
        <f t="shared" si="23"/>
        <v>no equally.[r*] [i*]</v>
      </c>
      <c r="AZ6" s="12">
        <v>0</v>
      </c>
      <c r="BA6" s="12"/>
      <c r="BB6" s="13">
        <f t="shared" si="24"/>
        <v>-1</v>
      </c>
      <c r="BC6" s="13">
        <f t="shared" si="25"/>
        <v>-1</v>
      </c>
      <c r="BD6" t="str">
        <f t="shared" si="3"/>
        <v>any equally.[r*] PUNC</v>
      </c>
      <c r="BE6" s="12">
        <v>0</v>
      </c>
      <c r="BF6" s="12"/>
      <c r="BG6" s="13">
        <f t="shared" si="26"/>
        <v>-1</v>
      </c>
      <c r="BH6" t="str">
        <f t="shared" si="27"/>
        <v>any equally.[r*] [i*]</v>
      </c>
      <c r="BI6" s="12">
        <v>0</v>
      </c>
      <c r="BJ6" s="12"/>
      <c r="BK6" s="13">
        <f t="shared" si="28"/>
        <v>-1</v>
      </c>
      <c r="BL6" s="13">
        <f t="shared" si="29"/>
        <v>-1</v>
      </c>
    </row>
    <row r="7" spans="1:64" x14ac:dyDescent="0.2">
      <c r="A7" t="s">
        <v>277</v>
      </c>
      <c r="B7" s="12">
        <v>771389</v>
      </c>
      <c r="C7" t="str">
        <f>_xlfn.CONCAT(C$1," ",$A7," [j*]/[r*]")</f>
        <v>more too.[r*] [j*]/[r*]</v>
      </c>
      <c r="D7" s="12">
        <v>0</v>
      </c>
      <c r="E7" s="12">
        <v>64</v>
      </c>
      <c r="F7" s="13">
        <f t="shared" si="4"/>
        <v>-1</v>
      </c>
      <c r="H7" s="12"/>
      <c r="I7" s="12"/>
      <c r="J7" s="13"/>
      <c r="K7" s="13">
        <f>F7</f>
        <v>-1</v>
      </c>
      <c r="L7" t="str">
        <f>_xlfn.CONCAT(L$1," ",$A7," [j*]/[r*]")</f>
        <v>less too.[r*] [j*]/[r*]</v>
      </c>
      <c r="M7" s="12">
        <v>0</v>
      </c>
      <c r="N7" s="12">
        <v>14</v>
      </c>
      <c r="O7" s="13">
        <f t="shared" si="8"/>
        <v>-1</v>
      </c>
      <c r="P7" s="13"/>
      <c r="Q7" s="13"/>
      <c r="R7" s="13"/>
      <c r="S7" s="13"/>
      <c r="T7" s="13">
        <f>O7</f>
        <v>-1</v>
      </c>
      <c r="U7" t="str">
        <f t="shared" si="0"/>
        <v>too.[r*] enough PUNC</v>
      </c>
      <c r="V7" s="12">
        <v>0</v>
      </c>
      <c r="W7" s="12"/>
      <c r="X7" s="13">
        <f t="shared" si="12"/>
        <v>-1</v>
      </c>
      <c r="Y7" t="str">
        <f>_xlfn.CONCAT(Y$1," ",$A7," [j*]/[r*]")</f>
        <v>that.[r*] too.[r*] [j*]/[r*]</v>
      </c>
      <c r="Z7" s="12">
        <v>0</v>
      </c>
      <c r="AA7" s="12">
        <v>37</v>
      </c>
      <c r="AB7" s="13">
        <f t="shared" si="13"/>
        <v>-1</v>
      </c>
      <c r="AC7" s="13"/>
      <c r="AD7" s="13"/>
      <c r="AE7" s="13"/>
      <c r="AF7" s="13"/>
      <c r="AG7" s="13">
        <f>AB7</f>
        <v>-1</v>
      </c>
      <c r="AH7" t="str">
        <f>_xlfn.CONCAT(AH$1," ",$A7," [j*]/[r*]")</f>
        <v>-very much too.[r*] [j*]/[r*]</v>
      </c>
      <c r="AI7" s="12">
        <v>3305</v>
      </c>
      <c r="AJ7" s="12" t="s">
        <v>271</v>
      </c>
      <c r="AK7" s="13">
        <f t="shared" si="17"/>
        <v>0.12458898047434741</v>
      </c>
      <c r="AL7" s="13"/>
      <c r="AM7" s="13"/>
      <c r="AN7" s="13"/>
      <c r="AO7" s="13"/>
      <c r="AP7" s="13">
        <f>AK7</f>
        <v>0.12458898047434741</v>
      </c>
      <c r="AQ7" t="str">
        <f t="shared" si="20"/>
        <v>a little too.[r*]</v>
      </c>
      <c r="AR7" s="12">
        <v>7060</v>
      </c>
      <c r="AS7" s="12"/>
      <c r="AT7" s="13">
        <f t="shared" si="21"/>
        <v>0.3238778176122552</v>
      </c>
      <c r="AU7" t="str">
        <f t="shared" si="2"/>
        <v>no too.[r*] PUNC</v>
      </c>
      <c r="AV7" s="12">
        <v>0</v>
      </c>
      <c r="AW7" s="12">
        <v>5</v>
      </c>
      <c r="AX7" s="13">
        <f t="shared" si="22"/>
        <v>-1</v>
      </c>
      <c r="AY7" s="13"/>
      <c r="AZ7" s="13"/>
      <c r="BA7" s="13"/>
      <c r="BB7" s="13"/>
      <c r="BC7" s="13">
        <f>AX7</f>
        <v>-1</v>
      </c>
      <c r="BD7" t="str">
        <f t="shared" si="3"/>
        <v>any too.[r*] PUNC</v>
      </c>
      <c r="BE7" s="12">
        <v>0</v>
      </c>
      <c r="BF7" s="12"/>
      <c r="BG7" s="13">
        <f t="shared" si="26"/>
        <v>-1</v>
      </c>
      <c r="BL7" s="13">
        <f>BG7</f>
        <v>-1</v>
      </c>
    </row>
    <row r="8" spans="1:64" x14ac:dyDescent="0.2">
      <c r="C8" t="s">
        <v>83</v>
      </c>
      <c r="D8" s="12">
        <v>2287393</v>
      </c>
      <c r="E8" s="12"/>
      <c r="G8" t="s">
        <v>83</v>
      </c>
      <c r="H8" s="12">
        <v>2287393</v>
      </c>
      <c r="I8" s="12"/>
      <c r="L8" t="s">
        <v>82</v>
      </c>
      <c r="M8" s="12">
        <v>339341</v>
      </c>
      <c r="N8" s="12"/>
      <c r="P8" t="s">
        <v>82</v>
      </c>
      <c r="Q8" s="12">
        <v>339341</v>
      </c>
      <c r="U8" t="s">
        <v>87</v>
      </c>
      <c r="V8" s="2">
        <v>396428</v>
      </c>
      <c r="W8" s="12"/>
      <c r="Y8" s="11" t="s">
        <v>263</v>
      </c>
      <c r="Z8" s="12">
        <v>112917</v>
      </c>
      <c r="AA8" s="12"/>
      <c r="AC8" s="11" t="s">
        <v>263</v>
      </c>
      <c r="AD8" s="12">
        <v>112917</v>
      </c>
      <c r="AH8" s="16" t="s">
        <v>74</v>
      </c>
      <c r="AI8" s="12">
        <v>891547</v>
      </c>
      <c r="AJ8" s="12"/>
      <c r="AL8" s="16" t="s">
        <v>74</v>
      </c>
      <c r="AM8" s="12">
        <v>891547</v>
      </c>
      <c r="AQ8" t="s">
        <v>278</v>
      </c>
      <c r="AR8" s="2">
        <v>196798</v>
      </c>
      <c r="AS8" s="12"/>
      <c r="AU8" t="s">
        <v>97</v>
      </c>
      <c r="AV8" s="2">
        <v>1205880</v>
      </c>
      <c r="AW8" s="12"/>
      <c r="AY8" t="s">
        <v>97</v>
      </c>
      <c r="AZ8" s="2">
        <v>1205880</v>
      </c>
      <c r="BD8" s="11" t="s">
        <v>98</v>
      </c>
      <c r="BE8" s="12">
        <v>997550</v>
      </c>
      <c r="BF8" s="12"/>
      <c r="BH8" s="11" t="s">
        <v>98</v>
      </c>
      <c r="BI8" s="12">
        <v>997550</v>
      </c>
    </row>
    <row r="9" spans="1:64" x14ac:dyDescent="0.2">
      <c r="F9" s="8">
        <f>-3.5*F14+F13</f>
        <v>-4.1289130161552521</v>
      </c>
      <c r="J9" s="8">
        <f>-3.5*J14+J13</f>
        <v>0</v>
      </c>
      <c r="K9" s="8"/>
      <c r="O9" s="8">
        <f>-3.5*O14+O13</f>
        <v>-1.5482883801154026</v>
      </c>
      <c r="P9" s="8"/>
      <c r="Q9" s="8"/>
      <c r="R9" s="8"/>
      <c r="S9" s="8"/>
      <c r="T9" s="8"/>
      <c r="X9" s="8">
        <f>-3.5*X14+X13</f>
        <v>-3.1093523271875836</v>
      </c>
      <c r="AB9" s="8">
        <f>-3.5*AB14+AB13</f>
        <v>-2.7299389865398398</v>
      </c>
      <c r="AC9" s="8"/>
      <c r="AD9" s="8"/>
      <c r="AE9" s="8"/>
      <c r="AF9" s="8"/>
      <c r="AG9" s="8"/>
      <c r="AK9" s="8">
        <f>-3.5*AK14+AK13</f>
        <v>-2.2427476863899747</v>
      </c>
      <c r="AL9" s="8"/>
      <c r="AM9" s="8"/>
      <c r="AN9" s="8"/>
      <c r="AO9" s="8"/>
      <c r="AP9" s="8"/>
      <c r="AT9" s="8">
        <f>-3.5*AT14+AT13</f>
        <v>-2.1294547693882158</v>
      </c>
      <c r="AX9" s="8">
        <f>-3.5*AX14+AX13</f>
        <v>-6.053635389395728</v>
      </c>
      <c r="AY9" s="8"/>
      <c r="AZ9" s="8"/>
      <c r="BA9" s="8"/>
      <c r="BB9" s="8"/>
      <c r="BC9" s="8"/>
      <c r="BG9" s="8">
        <f>-3.5*BG14+BG13</f>
        <v>-4.4582461542106273</v>
      </c>
    </row>
    <row r="11" spans="1:64" x14ac:dyDescent="0.2">
      <c r="E11" t="s">
        <v>78</v>
      </c>
      <c r="F11" s="1">
        <f>AVERAGE(F2:F7)</f>
        <v>-0.24131419921938682</v>
      </c>
      <c r="I11" t="s">
        <v>78</v>
      </c>
      <c r="J11" s="1">
        <f>AVERAGE(J2:J7)</f>
        <v>-0.31333806200738623</v>
      </c>
      <c r="K11" s="1"/>
      <c r="N11" t="s">
        <v>78</v>
      </c>
      <c r="O11" s="1">
        <f>AVERAGE(O2:O7)</f>
        <v>-0.44064321004021556</v>
      </c>
      <c r="P11" s="1"/>
      <c r="Q11" s="1"/>
      <c r="R11" s="1"/>
      <c r="S11" s="1"/>
      <c r="T11" s="1"/>
      <c r="W11" t="s">
        <v>78</v>
      </c>
      <c r="X11" s="1">
        <f>AVERAGE(X2:X7)</f>
        <v>-0.51295765237537683</v>
      </c>
      <c r="AA11" t="s">
        <v>78</v>
      </c>
      <c r="AB11" s="1">
        <f>AVERAGE(AB2:AB7)</f>
        <v>-0.49069063666867274</v>
      </c>
      <c r="AC11" s="1"/>
      <c r="AD11" s="1"/>
      <c r="AE11" s="1"/>
      <c r="AF11" s="1"/>
      <c r="AG11" s="1"/>
      <c r="AJ11" t="s">
        <v>78</v>
      </c>
      <c r="AK11" s="1">
        <f>AVERAGE(AK2:AK7)</f>
        <v>-0.28893521062892591</v>
      </c>
      <c r="AL11" s="1"/>
      <c r="AM11" s="1"/>
      <c r="AN11" s="1"/>
      <c r="AO11" s="1"/>
      <c r="AP11" s="1"/>
      <c r="AS11" t="s">
        <v>78</v>
      </c>
      <c r="AT11" s="1">
        <f>AVERAGE(AT2:AT7)</f>
        <v>-0.17856226756702551</v>
      </c>
      <c r="AW11" t="s">
        <v>78</v>
      </c>
      <c r="AX11" s="1">
        <f>AVERAGE(AX2:AX7)</f>
        <v>-0.7017022640567393</v>
      </c>
      <c r="AY11" s="1"/>
      <c r="AZ11" s="1"/>
      <c r="BA11" s="1"/>
      <c r="BB11" s="1"/>
      <c r="BC11" s="1"/>
      <c r="BF11" t="s">
        <v>78</v>
      </c>
      <c r="BG11" s="1">
        <f>AVERAGE(BG2:BG7)</f>
        <v>-0.63712263520826595</v>
      </c>
    </row>
    <row r="12" spans="1:64" x14ac:dyDescent="0.2">
      <c r="E12" t="s">
        <v>80</v>
      </c>
      <c r="F12" s="1">
        <f>_xlfn.STDEV.S(F2:F7)</f>
        <v>0.40792478270003335</v>
      </c>
      <c r="I12" t="s">
        <v>80</v>
      </c>
      <c r="J12" s="1">
        <f>_xlfn.STDEV.S(J2:J7)</f>
        <v>0.40664166434146032</v>
      </c>
      <c r="K12" s="1"/>
      <c r="N12" t="s">
        <v>80</v>
      </c>
      <c r="O12" s="1">
        <f>_xlfn.STDEV.S(O2:O7)</f>
        <v>0.4390666803805095</v>
      </c>
      <c r="P12" s="1"/>
      <c r="Q12" s="1"/>
      <c r="R12" s="1"/>
      <c r="S12" s="1"/>
      <c r="T12" s="1"/>
      <c r="W12" t="s">
        <v>80</v>
      </c>
      <c r="X12" s="1">
        <f>_xlfn.STDEV.S(X2:X7)</f>
        <v>0.56888912915820167</v>
      </c>
      <c r="AA12" t="s">
        <v>80</v>
      </c>
      <c r="AB12" s="1">
        <f>_xlfn.STDEV.S(AB2:AB7)</f>
        <v>0.56318314395211067</v>
      </c>
      <c r="AC12" s="1"/>
      <c r="AD12" s="1"/>
      <c r="AE12" s="1"/>
      <c r="AF12" s="1"/>
      <c r="AG12" s="1"/>
      <c r="AJ12" t="s">
        <v>80</v>
      </c>
      <c r="AK12" s="1">
        <f>_xlfn.STDEV.S(AK2:AK7)</f>
        <v>0.55540697792790217</v>
      </c>
      <c r="AL12" s="1"/>
      <c r="AM12" s="1"/>
      <c r="AN12" s="1"/>
      <c r="AO12" s="1"/>
      <c r="AP12" s="1"/>
      <c r="AS12" t="s">
        <v>80</v>
      </c>
      <c r="AT12" s="1">
        <f>_xlfn.STDEV.S(AT2:AT7)</f>
        <v>0.64925650376591959</v>
      </c>
      <c r="AW12" t="s">
        <v>80</v>
      </c>
      <c r="AX12" s="1">
        <f>AVERAGE(F12,O12,X12,AB12,AK12,AT12,BG12)</f>
        <v>0.53530253899719793</v>
      </c>
      <c r="AY12" s="1"/>
      <c r="AZ12" s="1"/>
      <c r="BA12" s="1"/>
      <c r="BB12" s="1"/>
      <c r="BC12" s="1"/>
      <c r="BF12" t="s">
        <v>80</v>
      </c>
      <c r="BG12" s="1">
        <f>_xlfn.STDEV.S(BG2:BG7)</f>
        <v>0.56339055509570923</v>
      </c>
    </row>
    <row r="13" spans="1:64" x14ac:dyDescent="0.2">
      <c r="F13">
        <v>-0.56332335579999104</v>
      </c>
      <c r="O13" s="21">
        <v>-1.0042475089364105</v>
      </c>
      <c r="P13" s="21"/>
      <c r="Q13" s="21"/>
      <c r="R13" s="21"/>
      <c r="S13" s="21"/>
      <c r="T13" s="21"/>
      <c r="W13" s="21"/>
      <c r="X13" s="21">
        <v>0.14339124658657201</v>
      </c>
      <c r="Y13" s="21"/>
      <c r="Z13" s="21"/>
      <c r="AA13" s="21"/>
      <c r="AB13" s="21">
        <v>-3.523508183752555E-2</v>
      </c>
      <c r="AC13" s="21"/>
      <c r="AD13" s="21"/>
      <c r="AE13" s="21"/>
      <c r="AF13" s="21"/>
      <c r="AG13" s="21"/>
      <c r="AH13" s="21"/>
      <c r="AI13" s="21"/>
      <c r="AJ13" s="21"/>
      <c r="AK13" s="21">
        <v>0.31273021590109962</v>
      </c>
      <c r="AL13" s="21"/>
      <c r="AM13" s="21"/>
      <c r="AN13" s="21"/>
      <c r="AO13" s="21"/>
      <c r="AP13" s="21"/>
      <c r="AQ13" s="21"/>
      <c r="AR13" s="21"/>
      <c r="AS13" s="21"/>
      <c r="AT13" s="21">
        <v>1.4125967959267403</v>
      </c>
      <c r="AU13" s="21"/>
      <c r="AV13" s="21"/>
      <c r="AW13" s="21"/>
      <c r="AX13" s="21">
        <v>-0.23561911632600285</v>
      </c>
      <c r="AY13" s="21"/>
      <c r="AZ13" s="21"/>
      <c r="BA13" s="21"/>
      <c r="BB13" s="21"/>
      <c r="BC13" s="21"/>
      <c r="BD13" s="21"/>
      <c r="BE13" s="21"/>
      <c r="BF13" s="21"/>
      <c r="BG13" s="21">
        <v>6.4330711799341689E-2</v>
      </c>
      <c r="BH13" s="21"/>
      <c r="BI13" s="21"/>
      <c r="BJ13" s="21"/>
      <c r="BK13" s="21"/>
      <c r="BL13" s="21"/>
    </row>
    <row r="14" spans="1:64" x14ac:dyDescent="0.2">
      <c r="F14">
        <v>1.0187399029586459</v>
      </c>
      <c r="O14" s="21">
        <v>0.15544024890828348</v>
      </c>
      <c r="P14" s="21"/>
      <c r="Q14" s="21"/>
      <c r="R14" s="21"/>
      <c r="S14" s="21"/>
      <c r="T14" s="21"/>
      <c r="W14" s="21"/>
      <c r="X14" s="21">
        <v>0.9293553067926158</v>
      </c>
      <c r="Y14" s="21"/>
      <c r="Z14" s="21"/>
      <c r="AA14" s="21"/>
      <c r="AB14" s="21">
        <v>0.76991540134351832</v>
      </c>
      <c r="AC14" s="21"/>
      <c r="AD14" s="21"/>
      <c r="AE14" s="21"/>
      <c r="AF14" s="21"/>
      <c r="AG14" s="21"/>
      <c r="AH14" s="21"/>
      <c r="AI14" s="21"/>
      <c r="AJ14" s="21"/>
      <c r="AK14" s="21">
        <v>0.73013654351173551</v>
      </c>
      <c r="AL14" s="21"/>
      <c r="AM14" s="21"/>
      <c r="AN14" s="21"/>
      <c r="AO14" s="21"/>
      <c r="AP14" s="21"/>
      <c r="AQ14" s="21"/>
      <c r="AR14" s="21"/>
      <c r="AS14" s="21"/>
      <c r="AT14" s="21">
        <v>1.0120147329471303</v>
      </c>
      <c r="AU14" s="21"/>
      <c r="AV14" s="21"/>
      <c r="AW14" s="21"/>
      <c r="AX14" s="21">
        <v>1.6622903637342072</v>
      </c>
      <c r="AY14" s="21"/>
      <c r="AZ14" s="21"/>
      <c r="BA14" s="21"/>
      <c r="BB14" s="21"/>
      <c r="BC14" s="21"/>
      <c r="BD14" s="21"/>
      <c r="BE14" s="21"/>
      <c r="BF14" s="21"/>
      <c r="BG14" s="21">
        <v>1.292164818859991</v>
      </c>
      <c r="BH14" s="21"/>
      <c r="BI14" s="21"/>
      <c r="BJ14" s="21"/>
      <c r="BK14" s="21"/>
      <c r="BL14" s="21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WPM</vt:lpstr>
      <vt:lpstr>Counts</vt:lpstr>
      <vt:lpstr>no</vt:lpstr>
      <vt:lpstr>Pseudo-random group members</vt:lpstr>
      <vt:lpstr>most-less table</vt:lpstr>
      <vt:lpstr>Selected group members</vt:lpstr>
      <vt:lpstr>selected PMI only</vt:lpstr>
      <vt:lpstr>summary tables</vt:lpstr>
      <vt:lpstr>AdvPs</vt:lpstr>
      <vt:lpstr>AdvP table</vt:lpstr>
      <vt:lpstr>PPs</vt:lpstr>
      <vt:lpstr>PPs table</vt:lpstr>
      <vt:lpstr>AdvP modifiers</vt:lpstr>
      <vt:lpstr>AdvPs mod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Reynolds</dc:creator>
  <cp:lastModifiedBy>Brett Reynolds</cp:lastModifiedBy>
  <dcterms:created xsi:type="dcterms:W3CDTF">2023-10-20T20:48:02Z</dcterms:created>
  <dcterms:modified xsi:type="dcterms:W3CDTF">2024-05-27T13:40:06Z</dcterms:modified>
</cp:coreProperties>
</file>